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Sephton.SOS-L-004\SaltonSea\Proposals2021\WISER\SandFiltrationCalculations\"/>
    </mc:Choice>
  </mc:AlternateContent>
  <bookViews>
    <workbookView xWindow="0" yWindow="0" windowWidth="20490" windowHeight="7755" tabRatio="644"/>
  </bookViews>
  <sheets>
    <sheet name="Pond Construction Costs" sheetId="8" r:id="rId1"/>
    <sheet name="Sand Filter Pond High Tide 1 " sheetId="4" r:id="rId2"/>
    <sheet name="Sand Filter Pond High Tide 2" sheetId="5" r:id="rId3"/>
    <sheet name="Sand Filter Pond High Tide  3" sheetId="6" r:id="rId4"/>
    <sheet name="Sand Filter Pond High Tide  4" sheetId="7" r:id="rId5"/>
    <sheet name="Target Flow Rates" sheetId="2" r:id="rId6"/>
  </sheets>
  <definedNames>
    <definedName name="_xlnm.Print_Area" localSheetId="0">'Pond Construction Costs'!$A$1:$C$77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8" l="1"/>
  <c r="N66" i="8"/>
  <c r="N21" i="8"/>
  <c r="N20" i="8"/>
  <c r="N22" i="8" s="1"/>
  <c r="N24" i="8" s="1"/>
  <c r="N26" i="8" s="1"/>
  <c r="N13" i="8"/>
  <c r="N11" i="8"/>
  <c r="N12" i="8" s="1"/>
  <c r="N14" i="8" s="1"/>
  <c r="N7" i="8"/>
  <c r="N15" i="8" s="1"/>
  <c r="N4" i="8"/>
  <c r="N5" i="8" s="1"/>
  <c r="E6" i="8"/>
  <c r="E7" i="8" s="1"/>
  <c r="K64" i="8"/>
  <c r="K59" i="8"/>
  <c r="K55" i="8"/>
  <c r="K21" i="8"/>
  <c r="K20" i="8"/>
  <c r="K22" i="8" s="1"/>
  <c r="K24" i="8" s="1"/>
  <c r="K26" i="8" s="1"/>
  <c r="K11" i="8"/>
  <c r="K12" i="8" s="1"/>
  <c r="K6" i="8"/>
  <c r="K7" i="8" s="1"/>
  <c r="K4" i="8"/>
  <c r="K5" i="8" s="1"/>
  <c r="H64" i="8"/>
  <c r="H59" i="8"/>
  <c r="H55" i="8"/>
  <c r="H21" i="8"/>
  <c r="H22" i="8" s="1"/>
  <c r="H24" i="8" s="1"/>
  <c r="H26" i="8" s="1"/>
  <c r="H20" i="8"/>
  <c r="H11" i="8"/>
  <c r="H13" i="8" s="1"/>
  <c r="H6" i="8"/>
  <c r="H7" i="8" s="1"/>
  <c r="H4" i="8"/>
  <c r="H49" i="8" s="1"/>
  <c r="H50" i="8" s="1"/>
  <c r="E64" i="8"/>
  <c r="E59" i="8"/>
  <c r="E55" i="8"/>
  <c r="E21" i="8"/>
  <c r="E22" i="8" s="1"/>
  <c r="E24" i="8" s="1"/>
  <c r="E26" i="8" s="1"/>
  <c r="E20" i="8"/>
  <c r="E11" i="8"/>
  <c r="E13" i="8" s="1"/>
  <c r="E4" i="8"/>
  <c r="E49" i="8" s="1"/>
  <c r="E50" i="8" s="1"/>
  <c r="B59" i="8"/>
  <c r="B64" i="8"/>
  <c r="B55" i="8"/>
  <c r="B4" i="8"/>
  <c r="B5" i="8" s="1"/>
  <c r="B74" i="8" s="1"/>
  <c r="B21" i="8"/>
  <c r="B20" i="8"/>
  <c r="B22" i="8" s="1"/>
  <c r="B24" i="8" s="1"/>
  <c r="B26" i="8" s="1"/>
  <c r="B11" i="8"/>
  <c r="B13" i="8" s="1"/>
  <c r="B3" i="4"/>
  <c r="B6" i="8"/>
  <c r="B7" i="8" s="1"/>
  <c r="N16" i="8" l="1"/>
  <c r="N18" i="8" s="1"/>
  <c r="K13" i="8"/>
  <c r="K14" i="8" s="1"/>
  <c r="K15" i="8"/>
  <c r="K35" i="8"/>
  <c r="K37" i="8" s="1"/>
  <c r="K49" i="8"/>
  <c r="K50" i="8" s="1"/>
  <c r="K74" i="8"/>
  <c r="K72" i="8"/>
  <c r="K29" i="8"/>
  <c r="K31" i="8" s="1"/>
  <c r="K43" i="8"/>
  <c r="K44" i="8" s="1"/>
  <c r="H15" i="8"/>
  <c r="H29" i="8"/>
  <c r="H31" i="8" s="1"/>
  <c r="H39" i="8"/>
  <c r="H43" i="8" s="1"/>
  <c r="H44" i="8" s="1"/>
  <c r="H5" i="8"/>
  <c r="H12" i="8"/>
  <c r="H14" i="8" s="1"/>
  <c r="H16" i="8" s="1"/>
  <c r="H18" i="8" s="1"/>
  <c r="H35" i="8"/>
  <c r="H37" i="8" s="1"/>
  <c r="E15" i="8"/>
  <c r="E29" i="8"/>
  <c r="E31" i="8" s="1"/>
  <c r="E39" i="8"/>
  <c r="E43" i="8" s="1"/>
  <c r="E44" i="8" s="1"/>
  <c r="E5" i="8"/>
  <c r="E12" i="8"/>
  <c r="E14" i="8" s="1"/>
  <c r="E16" i="8" s="1"/>
  <c r="E18" i="8" s="1"/>
  <c r="E35" i="8"/>
  <c r="E37" i="8" s="1"/>
  <c r="B35" i="8"/>
  <c r="B37" i="8"/>
  <c r="B39" i="8"/>
  <c r="B43" i="8" s="1"/>
  <c r="B44" i="8" s="1"/>
  <c r="B29" i="8"/>
  <c r="B31" i="8" s="1"/>
  <c r="B72" i="8"/>
  <c r="B75" i="8" s="1"/>
  <c r="B12" i="8"/>
  <c r="B14" i="8" s="1"/>
  <c r="B15" i="8"/>
  <c r="B49" i="8"/>
  <c r="B50" i="8" s="1"/>
  <c r="B15" i="7"/>
  <c r="B13" i="7"/>
  <c r="D3" i="7"/>
  <c r="C3" i="7"/>
  <c r="B3" i="7"/>
  <c r="C2" i="7"/>
  <c r="B15" i="6"/>
  <c r="B13" i="6"/>
  <c r="D3" i="6"/>
  <c r="C3" i="6"/>
  <c r="B3" i="6"/>
  <c r="C2" i="6"/>
  <c r="B15" i="5"/>
  <c r="B13" i="5"/>
  <c r="D3" i="5"/>
  <c r="C3" i="5"/>
  <c r="B3" i="5"/>
  <c r="C2" i="5"/>
  <c r="B13" i="4"/>
  <c r="E2" i="4" s="1"/>
  <c r="D3" i="4"/>
  <c r="D4" i="4" s="1"/>
  <c r="B15" i="4"/>
  <c r="C2" i="4"/>
  <c r="F2" i="4"/>
  <c r="I2" i="4" s="1"/>
  <c r="B14" i="4" s="1"/>
  <c r="B3" i="2"/>
  <c r="B2" i="2"/>
  <c r="K16" i="8" l="1"/>
  <c r="K18" i="8" s="1"/>
  <c r="B76" i="8"/>
  <c r="K75" i="8"/>
  <c r="K76" i="8" s="1"/>
  <c r="K66" i="8"/>
  <c r="K67" i="8" s="1"/>
  <c r="H74" i="8"/>
  <c r="H72" i="8"/>
  <c r="H66" i="8"/>
  <c r="H67" i="8" s="1"/>
  <c r="E74" i="8"/>
  <c r="E72" i="8"/>
  <c r="E75" i="8" s="1"/>
  <c r="E76" i="8" s="1"/>
  <c r="E66" i="8"/>
  <c r="E67" i="8" s="1"/>
  <c r="B16" i="8"/>
  <c r="B18" i="8" s="1"/>
  <c r="B66" i="8" s="1"/>
  <c r="D4" i="7"/>
  <c r="D4" i="6"/>
  <c r="D4" i="5"/>
  <c r="F3" i="4"/>
  <c r="I3" i="4" s="1"/>
  <c r="G4" i="4"/>
  <c r="G2" i="4"/>
  <c r="H2" i="4" s="1"/>
  <c r="F4" i="4"/>
  <c r="I4" i="4" s="1"/>
  <c r="G3" i="4"/>
  <c r="E4" i="4"/>
  <c r="H4" i="4" s="1"/>
  <c r="E3" i="4"/>
  <c r="D5" i="4"/>
  <c r="C3" i="4"/>
  <c r="C4" i="4"/>
  <c r="H75" i="8" l="1"/>
  <c r="B67" i="8"/>
  <c r="D5" i="7"/>
  <c r="C4" i="7"/>
  <c r="D5" i="6"/>
  <c r="C4" i="6"/>
  <c r="D5" i="5"/>
  <c r="C4" i="5"/>
  <c r="H3" i="4"/>
  <c r="D6" i="4"/>
  <c r="C6" i="4" s="1"/>
  <c r="G5" i="4"/>
  <c r="F5" i="4"/>
  <c r="I5" i="4" s="1"/>
  <c r="E5" i="4"/>
  <c r="C5" i="4"/>
  <c r="D7" i="4"/>
  <c r="H76" i="8" l="1"/>
  <c r="B77" i="8"/>
  <c r="D6" i="7"/>
  <c r="C5" i="7"/>
  <c r="D6" i="6"/>
  <c r="C5" i="6"/>
  <c r="D6" i="5"/>
  <c r="C5" i="5"/>
  <c r="H5" i="4"/>
  <c r="E7" i="4"/>
  <c r="G7" i="4"/>
  <c r="F7" i="4"/>
  <c r="I7" i="4" s="1"/>
  <c r="E6" i="4"/>
  <c r="F6" i="4"/>
  <c r="I6" i="4" s="1"/>
  <c r="G6" i="4"/>
  <c r="C7" i="4"/>
  <c r="D8" i="4"/>
  <c r="D7" i="7" l="1"/>
  <c r="C6" i="7"/>
  <c r="D7" i="6"/>
  <c r="C6" i="6"/>
  <c r="D7" i="5"/>
  <c r="C6" i="5"/>
  <c r="H7" i="4"/>
  <c r="H6" i="4"/>
  <c r="E8" i="4"/>
  <c r="G8" i="4"/>
  <c r="F8" i="4"/>
  <c r="I8" i="4" s="1"/>
  <c r="C8" i="4"/>
  <c r="D9" i="4"/>
  <c r="C7" i="7" l="1"/>
  <c r="D8" i="7"/>
  <c r="C7" i="6"/>
  <c r="D8" i="6"/>
  <c r="F7" i="5"/>
  <c r="I7" i="5" s="1"/>
  <c r="B14" i="5" s="1"/>
  <c r="B16" i="5" s="1"/>
  <c r="C7" i="5"/>
  <c r="G7" i="5"/>
  <c r="D8" i="5"/>
  <c r="E7" i="5"/>
  <c r="H8" i="4"/>
  <c r="E9" i="4"/>
  <c r="G9" i="4"/>
  <c r="F9" i="4"/>
  <c r="I9" i="4" s="1"/>
  <c r="C9" i="4"/>
  <c r="D10" i="4"/>
  <c r="D9" i="7" l="1"/>
  <c r="C8" i="7"/>
  <c r="D9" i="6"/>
  <c r="C8" i="6"/>
  <c r="D9" i="5"/>
  <c r="G8" i="5"/>
  <c r="C8" i="5"/>
  <c r="F8" i="5"/>
  <c r="I8" i="5" s="1"/>
  <c r="E8" i="5"/>
  <c r="H7" i="5"/>
  <c r="H9" i="4"/>
  <c r="E10" i="4"/>
  <c r="F10" i="4"/>
  <c r="I10" i="4" s="1"/>
  <c r="G10" i="4"/>
  <c r="C10" i="4"/>
  <c r="D11" i="4"/>
  <c r="D10" i="7" l="1"/>
  <c r="C9" i="7"/>
  <c r="D10" i="6"/>
  <c r="C9" i="6"/>
  <c r="D10" i="5"/>
  <c r="F9" i="5"/>
  <c r="I9" i="5" s="1"/>
  <c r="E9" i="5"/>
  <c r="C9" i="5"/>
  <c r="G9" i="5"/>
  <c r="H8" i="5"/>
  <c r="H10" i="4"/>
  <c r="E11" i="4"/>
  <c r="G11" i="4"/>
  <c r="F11" i="4"/>
  <c r="I11" i="4" s="1"/>
  <c r="C11" i="4"/>
  <c r="D12" i="4"/>
  <c r="H9" i="5" l="1"/>
  <c r="C10" i="7"/>
  <c r="D11" i="7"/>
  <c r="C10" i="6"/>
  <c r="D11" i="6"/>
  <c r="C10" i="5"/>
  <c r="G10" i="5"/>
  <c r="H10" i="5" s="1"/>
  <c r="D11" i="5"/>
  <c r="F10" i="5"/>
  <c r="I10" i="5" s="1"/>
  <c r="E10" i="5"/>
  <c r="H11" i="4"/>
  <c r="E12" i="4"/>
  <c r="G12" i="4"/>
  <c r="F12" i="4"/>
  <c r="I12" i="4" s="1"/>
  <c r="C12" i="4"/>
  <c r="D13" i="4"/>
  <c r="C11" i="7" l="1"/>
  <c r="D12" i="7"/>
  <c r="C11" i="6"/>
  <c r="D12" i="6"/>
  <c r="F11" i="5"/>
  <c r="I11" i="5" s="1"/>
  <c r="C11" i="5"/>
  <c r="G11" i="5"/>
  <c r="D12" i="5"/>
  <c r="E11" i="5"/>
  <c r="H12" i="4"/>
  <c r="E13" i="4"/>
  <c r="G13" i="4"/>
  <c r="F13" i="4"/>
  <c r="I13" i="4" s="1"/>
  <c r="C13" i="4"/>
  <c r="D14" i="4"/>
  <c r="C12" i="7" l="1"/>
  <c r="D13" i="7"/>
  <c r="C12" i="6"/>
  <c r="D13" i="6"/>
  <c r="G12" i="5"/>
  <c r="C12" i="5"/>
  <c r="D13" i="5"/>
  <c r="F12" i="5"/>
  <c r="I12" i="5" s="1"/>
  <c r="E12" i="5"/>
  <c r="H11" i="5"/>
  <c r="H13" i="4"/>
  <c r="E14" i="4"/>
  <c r="F14" i="4"/>
  <c r="I14" i="4" s="1"/>
  <c r="G14" i="4"/>
  <c r="C14" i="4"/>
  <c r="D15" i="4"/>
  <c r="C13" i="7" l="1"/>
  <c r="D14" i="7"/>
  <c r="C13" i="6"/>
  <c r="D14" i="6"/>
  <c r="H12" i="5"/>
  <c r="G13" i="5"/>
  <c r="C13" i="5"/>
  <c r="D14" i="5"/>
  <c r="F13" i="5"/>
  <c r="I13" i="5" s="1"/>
  <c r="E13" i="5"/>
  <c r="H14" i="4"/>
  <c r="E15" i="4"/>
  <c r="G15" i="4"/>
  <c r="F15" i="4"/>
  <c r="I15" i="4" s="1"/>
  <c r="C15" i="4"/>
  <c r="D16" i="4"/>
  <c r="C14" i="7" l="1"/>
  <c r="D15" i="7"/>
  <c r="C14" i="6"/>
  <c r="D15" i="6"/>
  <c r="H13" i="5"/>
  <c r="G14" i="5"/>
  <c r="C14" i="5"/>
  <c r="D15" i="5"/>
  <c r="F14" i="5"/>
  <c r="I14" i="5" s="1"/>
  <c r="E14" i="5"/>
  <c r="H15" i="4"/>
  <c r="E16" i="4"/>
  <c r="G16" i="4"/>
  <c r="F16" i="4"/>
  <c r="I16" i="4" s="1"/>
  <c r="C16" i="4"/>
  <c r="D17" i="4"/>
  <c r="C15" i="7" l="1"/>
  <c r="D16" i="7"/>
  <c r="C15" i="6"/>
  <c r="D16" i="6"/>
  <c r="H14" i="5"/>
  <c r="G15" i="5"/>
  <c r="C15" i="5"/>
  <c r="D16" i="5"/>
  <c r="F15" i="5"/>
  <c r="I15" i="5" s="1"/>
  <c r="E15" i="5"/>
  <c r="H16" i="4"/>
  <c r="E17" i="4"/>
  <c r="G17" i="4"/>
  <c r="F17" i="4"/>
  <c r="I17" i="4" s="1"/>
  <c r="C17" i="4"/>
  <c r="D18" i="4"/>
  <c r="D17" i="7" l="1"/>
  <c r="C16" i="7"/>
  <c r="D17" i="6"/>
  <c r="C16" i="6"/>
  <c r="H15" i="5"/>
  <c r="D17" i="5"/>
  <c r="G16" i="5"/>
  <c r="C16" i="5"/>
  <c r="F16" i="5"/>
  <c r="I16" i="5" s="1"/>
  <c r="E16" i="5"/>
  <c r="H17" i="4"/>
  <c r="E18" i="4"/>
  <c r="F18" i="4"/>
  <c r="I18" i="4" s="1"/>
  <c r="G18" i="4"/>
  <c r="C18" i="4"/>
  <c r="D19" i="4"/>
  <c r="D18" i="7" l="1"/>
  <c r="C17" i="7"/>
  <c r="D18" i="6"/>
  <c r="C17" i="6"/>
  <c r="D18" i="5"/>
  <c r="C17" i="5"/>
  <c r="G17" i="5"/>
  <c r="F17" i="5"/>
  <c r="I17" i="5" s="1"/>
  <c r="E17" i="5"/>
  <c r="H16" i="5"/>
  <c r="H18" i="4"/>
  <c r="E19" i="4"/>
  <c r="G19" i="4"/>
  <c r="F19" i="4"/>
  <c r="I19" i="4" s="1"/>
  <c r="C19" i="4"/>
  <c r="D20" i="4"/>
  <c r="D19" i="7" l="1"/>
  <c r="C18" i="7"/>
  <c r="D19" i="6"/>
  <c r="C18" i="6"/>
  <c r="G18" i="5"/>
  <c r="D19" i="5"/>
  <c r="F18" i="5"/>
  <c r="I18" i="5" s="1"/>
  <c r="E18" i="5"/>
  <c r="C18" i="5"/>
  <c r="H17" i="5"/>
  <c r="H19" i="4"/>
  <c r="E20" i="4"/>
  <c r="G20" i="4"/>
  <c r="F20" i="4"/>
  <c r="I20" i="4" s="1"/>
  <c r="C20" i="4"/>
  <c r="D21" i="4"/>
  <c r="H18" i="5" l="1"/>
  <c r="D20" i="7"/>
  <c r="C19" i="7"/>
  <c r="D20" i="6"/>
  <c r="C19" i="6"/>
  <c r="D20" i="5"/>
  <c r="F19" i="5"/>
  <c r="I19" i="5" s="1"/>
  <c r="C19" i="5"/>
  <c r="G19" i="5"/>
  <c r="E19" i="5"/>
  <c r="H20" i="4"/>
  <c r="E21" i="4"/>
  <c r="G21" i="4"/>
  <c r="F21" i="4"/>
  <c r="I21" i="4" s="1"/>
  <c r="C21" i="4"/>
  <c r="D22" i="4"/>
  <c r="C20" i="7" l="1"/>
  <c r="D21" i="7"/>
  <c r="C20" i="6"/>
  <c r="D21" i="6"/>
  <c r="F20" i="5"/>
  <c r="I20" i="5" s="1"/>
  <c r="C20" i="5"/>
  <c r="G20" i="5"/>
  <c r="D21" i="5"/>
  <c r="E20" i="5"/>
  <c r="H19" i="5"/>
  <c r="H21" i="4"/>
  <c r="E22" i="4"/>
  <c r="F22" i="4"/>
  <c r="I22" i="4" s="1"/>
  <c r="G22" i="4"/>
  <c r="C22" i="4"/>
  <c r="D23" i="4"/>
  <c r="D22" i="7" l="1"/>
  <c r="C21" i="7"/>
  <c r="D22" i="6"/>
  <c r="C21" i="6"/>
  <c r="D22" i="5"/>
  <c r="G21" i="5"/>
  <c r="H21" i="5" s="1"/>
  <c r="C21" i="5"/>
  <c r="F21" i="5"/>
  <c r="I21" i="5" s="1"/>
  <c r="E21" i="5"/>
  <c r="H20" i="5"/>
  <c r="H22" i="4"/>
  <c r="E23" i="4"/>
  <c r="G23" i="4"/>
  <c r="F23" i="4"/>
  <c r="I23" i="4" s="1"/>
  <c r="C23" i="4"/>
  <c r="D24" i="4"/>
  <c r="D23" i="7" l="1"/>
  <c r="C22" i="7"/>
  <c r="D23" i="6"/>
  <c r="C22" i="6"/>
  <c r="D23" i="5"/>
  <c r="F22" i="5"/>
  <c r="I22" i="5" s="1"/>
  <c r="C22" i="5"/>
  <c r="G22" i="5"/>
  <c r="E22" i="5"/>
  <c r="H23" i="4"/>
  <c r="E24" i="4"/>
  <c r="G24" i="4"/>
  <c r="F24" i="4"/>
  <c r="I24" i="4" s="1"/>
  <c r="C24" i="4"/>
  <c r="D25" i="4"/>
  <c r="C23" i="7" l="1"/>
  <c r="D24" i="7"/>
  <c r="C23" i="6"/>
  <c r="D24" i="6"/>
  <c r="C23" i="5"/>
  <c r="G23" i="5"/>
  <c r="H23" i="5" s="1"/>
  <c r="D24" i="5"/>
  <c r="F23" i="5"/>
  <c r="I23" i="5" s="1"/>
  <c r="E23" i="5"/>
  <c r="H22" i="5"/>
  <c r="H24" i="4"/>
  <c r="E25" i="4"/>
  <c r="G25" i="4"/>
  <c r="F25" i="4"/>
  <c r="I25" i="4" s="1"/>
  <c r="C25" i="4"/>
  <c r="D26" i="4"/>
  <c r="C24" i="7" l="1"/>
  <c r="D25" i="7"/>
  <c r="C24" i="6"/>
  <c r="D25" i="6"/>
  <c r="F24" i="5"/>
  <c r="I24" i="5" s="1"/>
  <c r="C24" i="5"/>
  <c r="G24" i="5"/>
  <c r="D25" i="5"/>
  <c r="E24" i="5"/>
  <c r="H25" i="4"/>
  <c r="E26" i="4"/>
  <c r="F26" i="4"/>
  <c r="I26" i="4" s="1"/>
  <c r="G26" i="4"/>
  <c r="C26" i="4"/>
  <c r="D27" i="4"/>
  <c r="D26" i="7" l="1"/>
  <c r="C25" i="7"/>
  <c r="D26" i="6"/>
  <c r="C25" i="6"/>
  <c r="D26" i="5"/>
  <c r="G25" i="5"/>
  <c r="C25" i="5"/>
  <c r="F25" i="5"/>
  <c r="I25" i="5" s="1"/>
  <c r="E25" i="5"/>
  <c r="H24" i="5"/>
  <c r="H26" i="4"/>
  <c r="E27" i="4"/>
  <c r="G27" i="4"/>
  <c r="F27" i="4"/>
  <c r="I27" i="4" s="1"/>
  <c r="C27" i="4"/>
  <c r="D28" i="4"/>
  <c r="C26" i="7" l="1"/>
  <c r="D27" i="7"/>
  <c r="C26" i="6"/>
  <c r="D27" i="6"/>
  <c r="H25" i="5"/>
  <c r="C26" i="5"/>
  <c r="G26" i="5"/>
  <c r="H26" i="5" s="1"/>
  <c r="D27" i="5"/>
  <c r="F26" i="5"/>
  <c r="I26" i="5" s="1"/>
  <c r="E26" i="5"/>
  <c r="H27" i="4"/>
  <c r="E28" i="4"/>
  <c r="G28" i="4"/>
  <c r="F28" i="4"/>
  <c r="I28" i="4" s="1"/>
  <c r="C28" i="4"/>
  <c r="D29" i="4"/>
  <c r="C27" i="7" l="1"/>
  <c r="D28" i="7"/>
  <c r="C27" i="6"/>
  <c r="G27" i="6"/>
  <c r="H27" i="6" s="1"/>
  <c r="D28" i="6"/>
  <c r="F27" i="6"/>
  <c r="I27" i="6" s="1"/>
  <c r="B14" i="6" s="1"/>
  <c r="B16" i="6" s="1"/>
  <c r="E27" i="6"/>
  <c r="C27" i="5"/>
  <c r="G27" i="5"/>
  <c r="D28" i="5"/>
  <c r="F27" i="5"/>
  <c r="I27" i="5" s="1"/>
  <c r="E27" i="5"/>
  <c r="H28" i="4"/>
  <c r="E29" i="4"/>
  <c r="G29" i="4"/>
  <c r="F29" i="4"/>
  <c r="I29" i="4" s="1"/>
  <c r="C29" i="4"/>
  <c r="D30" i="4"/>
  <c r="D29" i="7" l="1"/>
  <c r="C28" i="7"/>
  <c r="F28" i="6"/>
  <c r="I28" i="6" s="1"/>
  <c r="G28" i="6"/>
  <c r="H28" i="6" s="1"/>
  <c r="D29" i="6"/>
  <c r="C28" i="6"/>
  <c r="E28" i="6"/>
  <c r="F28" i="5"/>
  <c r="I28" i="5" s="1"/>
  <c r="G28" i="5"/>
  <c r="D29" i="5"/>
  <c r="C28" i="5"/>
  <c r="E28" i="5"/>
  <c r="H27" i="5"/>
  <c r="H29" i="4"/>
  <c r="E30" i="4"/>
  <c r="F30" i="4"/>
  <c r="I30" i="4" s="1"/>
  <c r="G30" i="4"/>
  <c r="C30" i="4"/>
  <c r="D31" i="4"/>
  <c r="D30" i="7" l="1"/>
  <c r="C29" i="7"/>
  <c r="D30" i="6"/>
  <c r="G29" i="6"/>
  <c r="H29" i="6" s="1"/>
  <c r="C29" i="6"/>
  <c r="F29" i="6"/>
  <c r="I29" i="6" s="1"/>
  <c r="E29" i="6"/>
  <c r="D30" i="5"/>
  <c r="G29" i="5"/>
  <c r="C29" i="5"/>
  <c r="F29" i="5"/>
  <c r="I29" i="5" s="1"/>
  <c r="E29" i="5"/>
  <c r="H28" i="5"/>
  <c r="H30" i="4"/>
  <c r="E31" i="4"/>
  <c r="G31" i="4"/>
  <c r="F31" i="4"/>
  <c r="I31" i="4" s="1"/>
  <c r="C31" i="4"/>
  <c r="D32" i="4"/>
  <c r="C30" i="7" l="1"/>
  <c r="D31" i="7"/>
  <c r="C30" i="6"/>
  <c r="G30" i="6"/>
  <c r="H30" i="6" s="1"/>
  <c r="D31" i="6"/>
  <c r="F30" i="6"/>
  <c r="I30" i="6" s="1"/>
  <c r="E30" i="6"/>
  <c r="C30" i="5"/>
  <c r="G30" i="5"/>
  <c r="D31" i="5"/>
  <c r="F30" i="5"/>
  <c r="I30" i="5" s="1"/>
  <c r="E30" i="5"/>
  <c r="H29" i="5"/>
  <c r="H31" i="4"/>
  <c r="E32" i="4"/>
  <c r="G32" i="4"/>
  <c r="F32" i="4"/>
  <c r="I32" i="4" s="1"/>
  <c r="C32" i="4"/>
  <c r="D33" i="4"/>
  <c r="D32" i="7" l="1"/>
  <c r="C31" i="7"/>
  <c r="G31" i="6"/>
  <c r="D32" i="6"/>
  <c r="F31" i="6"/>
  <c r="I31" i="6" s="1"/>
  <c r="C31" i="6"/>
  <c r="E31" i="6"/>
  <c r="G31" i="5"/>
  <c r="D32" i="5"/>
  <c r="F31" i="5"/>
  <c r="I31" i="5" s="1"/>
  <c r="C31" i="5"/>
  <c r="E31" i="5"/>
  <c r="H30" i="5"/>
  <c r="H32" i="4"/>
  <c r="E33" i="4"/>
  <c r="G33" i="4"/>
  <c r="F33" i="4"/>
  <c r="I33" i="4" s="1"/>
  <c r="C33" i="4"/>
  <c r="D34" i="4"/>
  <c r="D33" i="7" l="1"/>
  <c r="C32" i="7"/>
  <c r="F32" i="6"/>
  <c r="I32" i="6" s="1"/>
  <c r="D33" i="6"/>
  <c r="C32" i="6"/>
  <c r="G32" i="6"/>
  <c r="E32" i="6"/>
  <c r="H31" i="6"/>
  <c r="H31" i="5"/>
  <c r="F32" i="5"/>
  <c r="I32" i="5" s="1"/>
  <c r="D33" i="5"/>
  <c r="C32" i="5"/>
  <c r="G32" i="5"/>
  <c r="E32" i="5"/>
  <c r="H33" i="4"/>
  <c r="E34" i="4"/>
  <c r="F34" i="4"/>
  <c r="I34" i="4" s="1"/>
  <c r="G34" i="4"/>
  <c r="C34" i="4"/>
  <c r="D35" i="4"/>
  <c r="H32" i="6" l="1"/>
  <c r="H32" i="5"/>
  <c r="D34" i="7"/>
  <c r="C33" i="7"/>
  <c r="D34" i="6"/>
  <c r="G33" i="6"/>
  <c r="C33" i="6"/>
  <c r="F33" i="6"/>
  <c r="I33" i="6" s="1"/>
  <c r="E33" i="6"/>
  <c r="D34" i="5"/>
  <c r="G33" i="5"/>
  <c r="C33" i="5"/>
  <c r="F33" i="5"/>
  <c r="I33" i="5" s="1"/>
  <c r="E33" i="5"/>
  <c r="H34" i="4"/>
  <c r="E35" i="4"/>
  <c r="G35" i="4"/>
  <c r="F35" i="4"/>
  <c r="I35" i="4" s="1"/>
  <c r="C35" i="4"/>
  <c r="D36" i="4"/>
  <c r="H33" i="6" l="1"/>
  <c r="D35" i="7"/>
  <c r="C34" i="7"/>
  <c r="D35" i="6"/>
  <c r="G34" i="6"/>
  <c r="C34" i="6"/>
  <c r="F34" i="6"/>
  <c r="I34" i="6" s="1"/>
  <c r="E34" i="6"/>
  <c r="H33" i="5"/>
  <c r="D35" i="5"/>
  <c r="G34" i="5"/>
  <c r="C34" i="5"/>
  <c r="F34" i="5"/>
  <c r="I34" i="5" s="1"/>
  <c r="E34" i="5"/>
  <c r="H35" i="4"/>
  <c r="E36" i="4"/>
  <c r="G36" i="4"/>
  <c r="F36" i="4"/>
  <c r="I36" i="4" s="1"/>
  <c r="C36" i="4"/>
  <c r="D37" i="4"/>
  <c r="D36" i="7" l="1"/>
  <c r="C35" i="7"/>
  <c r="H34" i="6"/>
  <c r="G35" i="6"/>
  <c r="F35" i="6"/>
  <c r="I35" i="6" s="1"/>
  <c r="D36" i="6"/>
  <c r="C35" i="6"/>
  <c r="E35" i="6"/>
  <c r="H34" i="5"/>
  <c r="G35" i="5"/>
  <c r="F35" i="5"/>
  <c r="I35" i="5" s="1"/>
  <c r="D36" i="5"/>
  <c r="C35" i="5"/>
  <c r="E35" i="5"/>
  <c r="H36" i="4"/>
  <c r="E37" i="4"/>
  <c r="G37" i="4"/>
  <c r="F37" i="4"/>
  <c r="I37" i="4" s="1"/>
  <c r="C37" i="4"/>
  <c r="D38" i="4"/>
  <c r="D37" i="7" l="1"/>
  <c r="C36" i="7"/>
  <c r="F36" i="6"/>
  <c r="I36" i="6" s="1"/>
  <c r="G36" i="6"/>
  <c r="H36" i="6" s="1"/>
  <c r="D37" i="6"/>
  <c r="C36" i="6"/>
  <c r="E36" i="6"/>
  <c r="H35" i="6"/>
  <c r="F36" i="5"/>
  <c r="I36" i="5" s="1"/>
  <c r="G36" i="5"/>
  <c r="H36" i="5" s="1"/>
  <c r="D37" i="5"/>
  <c r="C36" i="5"/>
  <c r="E36" i="5"/>
  <c r="H35" i="5"/>
  <c r="H37" i="4"/>
  <c r="E38" i="4"/>
  <c r="F38" i="4"/>
  <c r="I38" i="4" s="1"/>
  <c r="G38" i="4"/>
  <c r="C38" i="4"/>
  <c r="D39" i="4"/>
  <c r="D38" i="7" l="1"/>
  <c r="C37" i="7"/>
  <c r="D38" i="6"/>
  <c r="G37" i="6"/>
  <c r="H37" i="6" s="1"/>
  <c r="C37" i="6"/>
  <c r="F37" i="6"/>
  <c r="I37" i="6" s="1"/>
  <c r="E37" i="6"/>
  <c r="D38" i="5"/>
  <c r="G37" i="5"/>
  <c r="C37" i="5"/>
  <c r="F37" i="5"/>
  <c r="I37" i="5" s="1"/>
  <c r="E37" i="5"/>
  <c r="H38" i="4"/>
  <c r="E39" i="4"/>
  <c r="G39" i="4"/>
  <c r="F39" i="4"/>
  <c r="I39" i="4" s="1"/>
  <c r="C39" i="4"/>
  <c r="D40" i="4"/>
  <c r="D39" i="7" l="1"/>
  <c r="G38" i="7"/>
  <c r="H38" i="7" s="1"/>
  <c r="C38" i="7"/>
  <c r="F38" i="7"/>
  <c r="I38" i="7" s="1"/>
  <c r="B14" i="7" s="1"/>
  <c r="B16" i="7" s="1"/>
  <c r="E38" i="7"/>
  <c r="D39" i="6"/>
  <c r="G38" i="6"/>
  <c r="C38" i="6"/>
  <c r="F38" i="6"/>
  <c r="I38" i="6" s="1"/>
  <c r="E38" i="6"/>
  <c r="H37" i="5"/>
  <c r="D39" i="5"/>
  <c r="G38" i="5"/>
  <c r="H38" i="5" s="1"/>
  <c r="C38" i="5"/>
  <c r="F38" i="5"/>
  <c r="I38" i="5" s="1"/>
  <c r="E38" i="5"/>
  <c r="H39" i="4"/>
  <c r="E40" i="4"/>
  <c r="G40" i="4"/>
  <c r="F40" i="4"/>
  <c r="I40" i="4" s="1"/>
  <c r="C40" i="4"/>
  <c r="D41" i="4"/>
  <c r="D40" i="7" l="1"/>
  <c r="C39" i="7"/>
  <c r="G39" i="7"/>
  <c r="F39" i="7"/>
  <c r="I39" i="7" s="1"/>
  <c r="E39" i="7"/>
  <c r="D40" i="6"/>
  <c r="C39" i="6"/>
  <c r="G39" i="6"/>
  <c r="F39" i="6"/>
  <c r="I39" i="6" s="1"/>
  <c r="E39" i="6"/>
  <c r="H38" i="6"/>
  <c r="D40" i="5"/>
  <c r="C39" i="5"/>
  <c r="G39" i="5"/>
  <c r="F39" i="5"/>
  <c r="I39" i="5" s="1"/>
  <c r="E39" i="5"/>
  <c r="H40" i="4"/>
  <c r="E41" i="4"/>
  <c r="G41" i="4"/>
  <c r="F41" i="4"/>
  <c r="I41" i="4" s="1"/>
  <c r="C41" i="4"/>
  <c r="H39" i="7" l="1"/>
  <c r="F40" i="7"/>
  <c r="I40" i="7" s="1"/>
  <c r="D41" i="7"/>
  <c r="C40" i="7"/>
  <c r="G40" i="7"/>
  <c r="E40" i="7"/>
  <c r="H39" i="6"/>
  <c r="F40" i="6"/>
  <c r="I40" i="6" s="1"/>
  <c r="D41" i="6"/>
  <c r="C40" i="6"/>
  <c r="G40" i="6"/>
  <c r="E40" i="6"/>
  <c r="H39" i="5"/>
  <c r="F40" i="5"/>
  <c r="I40" i="5" s="1"/>
  <c r="D41" i="5"/>
  <c r="C40" i="5"/>
  <c r="G40" i="5"/>
  <c r="E40" i="5"/>
  <c r="H41" i="4"/>
  <c r="B18" i="4" s="1"/>
  <c r="B16" i="4"/>
  <c r="G41" i="7" l="1"/>
  <c r="C41" i="7"/>
  <c r="F41" i="7"/>
  <c r="I41" i="7" s="1"/>
  <c r="E41" i="7"/>
  <c r="H40" i="7"/>
  <c r="G41" i="6"/>
  <c r="C41" i="6"/>
  <c r="F41" i="6"/>
  <c r="I41" i="6" s="1"/>
  <c r="E41" i="6"/>
  <c r="H40" i="6"/>
  <c r="G41" i="5"/>
  <c r="H41" i="5" s="1"/>
  <c r="C41" i="5"/>
  <c r="F41" i="5"/>
  <c r="I41" i="5" s="1"/>
  <c r="E41" i="5"/>
  <c r="H40" i="5"/>
  <c r="H41" i="7" l="1"/>
  <c r="B18" i="7" s="1"/>
  <c r="H41" i="6"/>
  <c r="B18" i="6" s="1"/>
  <c r="B18" i="5"/>
</calcChain>
</file>

<file path=xl/sharedStrings.xml><?xml version="1.0" encoding="utf-8"?>
<sst xmlns="http://schemas.openxmlformats.org/spreadsheetml/2006/main" count="392" uniqueCount="111">
  <si>
    <r>
      <t>Flow rate (Q)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</si>
  <si>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Maximum Head (m)</t>
  </si>
  <si>
    <t>Depth below Max (m)</t>
  </si>
  <si>
    <t>Flow Rate (Q) (AF per tide)</t>
  </si>
  <si>
    <t>% Target Capacity</t>
  </si>
  <si>
    <t>Target Capacity (AF per tide)</t>
  </si>
  <si>
    <t>Annual Flow rate</t>
  </si>
  <si>
    <t>AFY</t>
  </si>
  <si>
    <t>Daily Flow Rate</t>
  </si>
  <si>
    <t>AF/day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</si>
  <si>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/ day</t>
    </r>
  </si>
  <si>
    <t>Width of Pond (m)</t>
  </si>
  <si>
    <t>Pond Side Angle of inclination (deg)</t>
  </si>
  <si>
    <t>Rise over Run Ratio</t>
  </si>
  <si>
    <t>Max Recorded High Tide</t>
  </si>
  <si>
    <t>Length of Pond (m)</t>
  </si>
  <si>
    <t>Pond Head (m)</t>
  </si>
  <si>
    <t>Parameters for Darcy equation</t>
  </si>
  <si>
    <t>Depth of flow path through Sand Filter (l) in Darcy equation (m)</t>
  </si>
  <si>
    <r>
      <t>Pond Volume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</si>
  <si>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Unit Depth for approximation (m)</t>
  </si>
  <si>
    <r>
      <t>Volume of Pond Unit Depth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</si>
  <si>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Time to Drain Unit Depth (sec)</t>
  </si>
  <si>
    <t>Time to drain full pond (hours)</t>
  </si>
  <si>
    <t>Permeability of fine sand (k) in Darcy equation (m/sec)</t>
  </si>
  <si>
    <t>Pond Volume (AF)</t>
  </si>
  <si>
    <t>High Tide 10/27/2021 13:07 1.28 ft (0.39 m)</t>
  </si>
  <si>
    <t>High Tide 10/7/2021 2:28 11.55 ft (3.52 m)</t>
  </si>
  <si>
    <t>High Tide 10/11/2021 5:21 5.12 ft (1.56 m)</t>
  </si>
  <si>
    <t>High Tide very high maximum operating design capacity (4.0 m)</t>
  </si>
  <si>
    <t>Pond Bottom Area</t>
  </si>
  <si>
    <t>In acres</t>
  </si>
  <si>
    <t>square feet</t>
  </si>
  <si>
    <t>feet</t>
  </si>
  <si>
    <t>Berm Height</t>
  </si>
  <si>
    <t>Berm Top Width</t>
  </si>
  <si>
    <t>W:H ratio</t>
  </si>
  <si>
    <t>Berm Base Width</t>
  </si>
  <si>
    <t>Berm Cross Section</t>
  </si>
  <si>
    <t>Berm Corner Volume</t>
  </si>
  <si>
    <t>cubic yards</t>
  </si>
  <si>
    <t>Berm Side Volume</t>
  </si>
  <si>
    <t>Total Berm Volume</t>
  </si>
  <si>
    <t>Dirt Fill Unit Cost</t>
  </si>
  <si>
    <t>cubic yard</t>
  </si>
  <si>
    <t>total</t>
  </si>
  <si>
    <t>each</t>
  </si>
  <si>
    <t>Number of Rolls</t>
  </si>
  <si>
    <t>PVC Liner roll width</t>
  </si>
  <si>
    <t>PVC Liner roll length</t>
  </si>
  <si>
    <t>PVC Liner roll cost</t>
  </si>
  <si>
    <t>Cost of Liner 20 mil</t>
  </si>
  <si>
    <t>Capital Cost per pond</t>
  </si>
  <si>
    <t>Capital Cost per acre</t>
  </si>
  <si>
    <t>Maintenance Cost per acre</t>
  </si>
  <si>
    <t>per year</t>
  </si>
  <si>
    <t>Maintenance Cost per pond</t>
  </si>
  <si>
    <t>Sand Filtration Pond Sizing and Costs</t>
  </si>
  <si>
    <t>Cleanout cost per acre</t>
  </si>
  <si>
    <t>Cleanout Cost per pond</t>
  </si>
  <si>
    <t>Annual maintenance cost per pond</t>
  </si>
  <si>
    <t>Annual maintenance cost per acre</t>
  </si>
  <si>
    <t>Pond Inside Edge Shared</t>
  </si>
  <si>
    <t>Pond Inside Length</t>
  </si>
  <si>
    <t>Pond Inside Width</t>
  </si>
  <si>
    <t>Pond Inside Edge Net</t>
  </si>
  <si>
    <t>East Filter Pond</t>
  </si>
  <si>
    <t>Berm Dirt Fill Cost</t>
  </si>
  <si>
    <t>Rip Rap Facing Unit Cost</t>
  </si>
  <si>
    <t>Rip Rap Facing Cost</t>
  </si>
  <si>
    <t>degrees</t>
  </si>
  <si>
    <t>Berm Slope</t>
  </si>
  <si>
    <t>Berm Slope run over rise</t>
  </si>
  <si>
    <t>Berm Facing Area</t>
  </si>
  <si>
    <t>Berm Facing Rise</t>
  </si>
  <si>
    <t>Berm Facing Base</t>
  </si>
  <si>
    <t>Rip Rap Thickness</t>
  </si>
  <si>
    <t>Rip Rap Volume</t>
  </si>
  <si>
    <t>Sand Filtration Zone Depth</t>
  </si>
  <si>
    <t>Sand Filtration Zone Volume</t>
  </si>
  <si>
    <t>Fine Sand Unit Cost</t>
  </si>
  <si>
    <t>Sand Filtration Zone Fill Cost</t>
  </si>
  <si>
    <t>Gravel Percolation Zone Fill Cost</t>
  </si>
  <si>
    <t>Gravel Percolation Zone Volume</t>
  </si>
  <si>
    <t>Gravel Unit Cost</t>
  </si>
  <si>
    <t>Gravel Percolation Zone Entry Depth</t>
  </si>
  <si>
    <t>Gravel Percolation Zone Exit Depth</t>
  </si>
  <si>
    <t>Geotextile Sand / Gravel Separator Area</t>
  </si>
  <si>
    <t>Geotextile Separator Cost</t>
  </si>
  <si>
    <t>Geotextile Separator Roll Cost</t>
  </si>
  <si>
    <t>Geotextile Separator roll length</t>
  </si>
  <si>
    <t>Geotextile Separator roll width</t>
  </si>
  <si>
    <t>Number of 63" Tidal Intake Pipes</t>
  </si>
  <si>
    <t>per pond</t>
  </si>
  <si>
    <t>Length of Each 63" Tidal Intake Pipe</t>
  </si>
  <si>
    <t>63" Tidal Intake Pipe Unit Cost</t>
  </si>
  <si>
    <t>per linear foot</t>
  </si>
  <si>
    <t>63" Tidal Intake Pipe Total Cost</t>
  </si>
  <si>
    <t>Number of 63" Outflow Pipes</t>
  </si>
  <si>
    <t>Length of Each 63" Outflow Pipe</t>
  </si>
  <si>
    <t>63" Outflow Pipe Unit Cost</t>
  </si>
  <si>
    <t>63" Outflow Pipe Total Cost</t>
  </si>
  <si>
    <t>63" Tidal Gate Unit Cost</t>
  </si>
  <si>
    <t>Number of 63" Tidal Gates</t>
  </si>
  <si>
    <t>63" Tidal Gate Total Cost</t>
  </si>
  <si>
    <t>Center Filter Pond</t>
  </si>
  <si>
    <t>West Filter Pond</t>
  </si>
  <si>
    <t>Collection Pond</t>
  </si>
  <si>
    <t>Total Capital Cost</t>
  </si>
  <si>
    <t>Total Annual Maintenance Cost</t>
  </si>
  <si>
    <t>Northern 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</si>
</sst>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"/>
    <numFmt numFmtId="166" formatCode="[$$-409]#,##0.00;[Red]\-[$$-409]#,##0.00"/>
    <numFmt numFmtId="167" formatCode="\$#,##0.00"/>
    <numFmt numFmtId="168" formatCode="#,##0.00;[Red]#,##0.00"/>
    <numFmt numFmtId="169" formatCode="#,##0.0;[Red]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10" fontId="1" fillId="0" borderId="0" xfId="0" applyNumberFormat="1" applyFont="1"/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5" fillId="0" borderId="0" xfId="1" applyFont="1"/>
    <xf numFmtId="165" fontId="4" fillId="0" borderId="0" xfId="1" applyNumberFormat="1" applyAlignment="1">
      <alignment horizontal="center"/>
    </xf>
    <xf numFmtId="0" fontId="4" fillId="0" borderId="0" xfId="1"/>
    <xf numFmtId="164" fontId="4" fillId="2" borderId="0" xfId="1" applyNumberFormat="1" applyFill="1" applyAlignment="1">
      <alignment horizontal="center"/>
    </xf>
    <xf numFmtId="164" fontId="4" fillId="0" borderId="0" xfId="1" applyNumberFormat="1" applyAlignment="1">
      <alignment horizontal="center"/>
    </xf>
    <xf numFmtId="166" fontId="4" fillId="2" borderId="0" xfId="1" applyNumberFormat="1" applyFill="1" applyAlignment="1">
      <alignment horizontal="center"/>
    </xf>
    <xf numFmtId="166" fontId="4" fillId="0" borderId="0" xfId="1" applyNumberFormat="1" applyAlignment="1">
      <alignment horizontal="center"/>
    </xf>
    <xf numFmtId="3" fontId="4" fillId="0" borderId="0" xfId="1" applyNumberFormat="1" applyAlignment="1">
      <alignment horizontal="center"/>
    </xf>
    <xf numFmtId="167" fontId="4" fillId="3" borderId="0" xfId="1" applyNumberFormat="1" applyFill="1" applyAlignment="1">
      <alignment horizontal="center"/>
    </xf>
    <xf numFmtId="167" fontId="4" fillId="0" borderId="0" xfId="1" applyNumberFormat="1" applyAlignment="1">
      <alignment horizontal="center"/>
    </xf>
    <xf numFmtId="165" fontId="5" fillId="0" borderId="0" xfId="1" applyNumberFormat="1" applyFont="1" applyAlignment="1">
      <alignment horizontal="center"/>
    </xf>
    <xf numFmtId="168" fontId="4" fillId="0" borderId="0" xfId="1" applyNumberFormat="1" applyAlignment="1">
      <alignment horizontal="center"/>
    </xf>
    <xf numFmtId="169" fontId="4" fillId="2" borderId="0" xfId="1" applyNumberFormat="1" applyFill="1" applyAlignment="1">
      <alignment horizontal="center"/>
    </xf>
    <xf numFmtId="169" fontId="4" fillId="0" borderId="0" xfId="1" applyNumberFormat="1" applyAlignment="1">
      <alignment horizontal="center"/>
    </xf>
    <xf numFmtId="3" fontId="4" fillId="2" borderId="0" xfId="1" applyNumberFormat="1" applyFill="1" applyAlignment="1">
      <alignment horizontal="center"/>
    </xf>
    <xf numFmtId="166" fontId="5" fillId="0" borderId="0" xfId="1" applyNumberFormat="1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abSelected="1" workbookViewId="0">
      <selection activeCell="A4" sqref="A4"/>
    </sheetView>
  </sheetViews>
  <sheetFormatPr defaultColWidth="11.5703125" defaultRowHeight="12.75" x14ac:dyDescent="0.2"/>
  <cols>
    <col min="1" max="1" width="35.85546875" style="9" customWidth="1"/>
    <col min="2" max="2" width="16.7109375" style="8" customWidth="1"/>
    <col min="3" max="3" width="12.42578125" style="9" customWidth="1"/>
    <col min="4" max="4" width="2.7109375" style="9" customWidth="1"/>
    <col min="5" max="5" width="16.7109375" style="8" customWidth="1"/>
    <col min="6" max="6" width="12.42578125" style="9" customWidth="1"/>
    <col min="7" max="7" width="2.7109375" style="9" customWidth="1"/>
    <col min="8" max="8" width="16.7109375" style="8" customWidth="1"/>
    <col min="9" max="9" width="12.42578125" style="9" customWidth="1"/>
    <col min="10" max="10" width="2.7109375" style="9" customWidth="1"/>
    <col min="11" max="11" width="16.7109375" style="8" customWidth="1"/>
    <col min="12" max="12" width="12.42578125" style="9" customWidth="1"/>
    <col min="13" max="13" width="2.7109375" style="9" customWidth="1"/>
    <col min="14" max="14" width="15.5703125" style="9" customWidth="1"/>
    <col min="15" max="16384" width="11.5703125" style="9"/>
  </cols>
  <sheetData>
    <row r="1" spans="1:15" x14ac:dyDescent="0.2">
      <c r="A1" s="7" t="s">
        <v>57</v>
      </c>
      <c r="B1" s="17" t="s">
        <v>66</v>
      </c>
      <c r="D1" s="7"/>
      <c r="E1" s="17" t="s">
        <v>105</v>
      </c>
      <c r="H1" s="17" t="s">
        <v>106</v>
      </c>
      <c r="K1" s="17" t="s">
        <v>107</v>
      </c>
      <c r="N1" s="17" t="s">
        <v>110</v>
      </c>
    </row>
    <row r="2" spans="1:15" x14ac:dyDescent="0.2">
      <c r="A2" s="9" t="s">
        <v>63</v>
      </c>
      <c r="B2" s="10">
        <v>6233.5959999999995</v>
      </c>
      <c r="C2" s="9" t="s">
        <v>33</v>
      </c>
      <c r="E2" s="10">
        <v>6233.5959999999995</v>
      </c>
      <c r="F2" s="9" t="s">
        <v>33</v>
      </c>
      <c r="H2" s="10">
        <v>6233.5959999999995</v>
      </c>
      <c r="I2" s="9" t="s">
        <v>33</v>
      </c>
      <c r="K2" s="10">
        <v>4265.0919999999996</v>
      </c>
      <c r="L2" s="9" t="s">
        <v>33</v>
      </c>
      <c r="N2" s="10">
        <v>4543.9629999999997</v>
      </c>
      <c r="O2" s="9" t="s">
        <v>33</v>
      </c>
    </row>
    <row r="3" spans="1:15" x14ac:dyDescent="0.2">
      <c r="A3" s="9" t="s">
        <v>64</v>
      </c>
      <c r="B3" s="10">
        <v>1312.34</v>
      </c>
      <c r="C3" s="9" t="s">
        <v>33</v>
      </c>
      <c r="E3" s="10">
        <v>1312.34</v>
      </c>
      <c r="F3" s="9" t="s">
        <v>33</v>
      </c>
      <c r="H3" s="10">
        <v>1312.34</v>
      </c>
      <c r="I3" s="9" t="s">
        <v>33</v>
      </c>
      <c r="K3" s="10">
        <v>721.78499999999997</v>
      </c>
      <c r="L3" s="9" t="s">
        <v>33</v>
      </c>
      <c r="N3" s="10">
        <v>0</v>
      </c>
      <c r="O3" s="9" t="s">
        <v>33</v>
      </c>
    </row>
    <row r="4" spans="1:15" x14ac:dyDescent="0.2">
      <c r="A4" s="9" t="s">
        <v>30</v>
      </c>
      <c r="B4" s="11">
        <f xml:space="preserve"> B2 * B3</f>
        <v>8180597.3746399991</v>
      </c>
      <c r="C4" s="9" t="s">
        <v>32</v>
      </c>
      <c r="E4" s="11">
        <f xml:space="preserve"> E2 * E3</f>
        <v>8180597.3746399991</v>
      </c>
      <c r="F4" s="9" t="s">
        <v>32</v>
      </c>
      <c r="H4" s="11">
        <f xml:space="preserve"> H2 * H3</f>
        <v>8180597.3746399991</v>
      </c>
      <c r="I4" s="9" t="s">
        <v>32</v>
      </c>
      <c r="K4" s="11">
        <f xml:space="preserve"> K2 * K3</f>
        <v>3078479.4292199998</v>
      </c>
      <c r="L4" s="9" t="s">
        <v>32</v>
      </c>
      <c r="N4" s="11">
        <f xml:space="preserve"> N2 * N3</f>
        <v>0</v>
      </c>
      <c r="O4" s="9" t="s">
        <v>32</v>
      </c>
    </row>
    <row r="5" spans="1:15" x14ac:dyDescent="0.2">
      <c r="A5" s="9" t="s">
        <v>30</v>
      </c>
      <c r="B5" s="11">
        <f xml:space="preserve"> B4 / 43560</f>
        <v>187.80067434894397</v>
      </c>
      <c r="C5" s="9" t="s">
        <v>31</v>
      </c>
      <c r="E5" s="11">
        <f xml:space="preserve"> E4 / 43560</f>
        <v>187.80067434894397</v>
      </c>
      <c r="F5" s="9" t="s">
        <v>31</v>
      </c>
      <c r="H5" s="11">
        <f xml:space="preserve"> H4 / 43560</f>
        <v>187.80067434894397</v>
      </c>
      <c r="I5" s="9" t="s">
        <v>31</v>
      </c>
      <c r="K5" s="11">
        <f xml:space="preserve"> K4 / 43560</f>
        <v>70.672163205234156</v>
      </c>
      <c r="L5" s="9" t="s">
        <v>31</v>
      </c>
      <c r="N5" s="11">
        <f xml:space="preserve"> N4 / 43560</f>
        <v>0</v>
      </c>
      <c r="O5" s="9" t="s">
        <v>31</v>
      </c>
    </row>
    <row r="6" spans="1:15" x14ac:dyDescent="0.2">
      <c r="A6" s="9" t="s">
        <v>62</v>
      </c>
      <c r="B6" s="10">
        <f xml:space="preserve"> 6233.596 + 1312.34</f>
        <v>7545.9359999999997</v>
      </c>
      <c r="C6" s="9" t="s">
        <v>33</v>
      </c>
      <c r="E6" s="10">
        <f xml:space="preserve"> 6233.596 + 6233.596 + 1312.34</f>
        <v>13779.531999999999</v>
      </c>
      <c r="F6" s="9" t="s">
        <v>33</v>
      </c>
      <c r="H6" s="10">
        <f xml:space="preserve"> 6233.596 + 1312.34</f>
        <v>7545.9359999999997</v>
      </c>
      <c r="I6" s="9" t="s">
        <v>33</v>
      </c>
      <c r="K6" s="10">
        <f xml:space="preserve"> 6233.596 + 1312.34</f>
        <v>7545.9359999999997</v>
      </c>
      <c r="L6" s="9" t="s">
        <v>33</v>
      </c>
      <c r="N6" s="10">
        <v>4543.9629999999997</v>
      </c>
      <c r="O6" s="9" t="s">
        <v>33</v>
      </c>
    </row>
    <row r="7" spans="1:15" x14ac:dyDescent="0.2">
      <c r="A7" s="9" t="s">
        <v>65</v>
      </c>
      <c r="B7" s="8">
        <f xml:space="preserve"> 2 * B2 + 2 * B3 - B6/2</f>
        <v>11318.903999999999</v>
      </c>
      <c r="C7" s="9" t="s">
        <v>33</v>
      </c>
      <c r="E7" s="8">
        <f xml:space="preserve"> 2 * E2 + 2 * E3 - E6/2</f>
        <v>8202.1059999999998</v>
      </c>
      <c r="F7" s="9" t="s">
        <v>33</v>
      </c>
      <c r="H7" s="8">
        <f xml:space="preserve"> 2 * H2 + 2 * H3 - H6/2</f>
        <v>11318.903999999999</v>
      </c>
      <c r="I7" s="9" t="s">
        <v>33</v>
      </c>
      <c r="K7" s="8">
        <f xml:space="preserve"> 2 * K2 + 2 * K3 - K6/2</f>
        <v>6200.7859999999991</v>
      </c>
      <c r="L7" s="9" t="s">
        <v>33</v>
      </c>
      <c r="N7" s="8">
        <f xml:space="preserve"> 2 * N2 + 2 * N3 - N6/2</f>
        <v>6815.9444999999996</v>
      </c>
      <c r="O7" s="9" t="s">
        <v>33</v>
      </c>
    </row>
    <row r="8" spans="1:15" x14ac:dyDescent="0.2">
      <c r="A8" s="9" t="s">
        <v>34</v>
      </c>
      <c r="B8" s="10">
        <v>22.966000000000001</v>
      </c>
      <c r="C8" s="9" t="s">
        <v>33</v>
      </c>
      <c r="E8" s="10">
        <v>22.966000000000001</v>
      </c>
      <c r="F8" s="9" t="s">
        <v>33</v>
      </c>
      <c r="H8" s="10">
        <v>22.966000000000001</v>
      </c>
      <c r="I8" s="9" t="s">
        <v>33</v>
      </c>
      <c r="K8" s="10">
        <v>32.808399999999999</v>
      </c>
      <c r="L8" s="9" t="s">
        <v>33</v>
      </c>
      <c r="N8" s="10">
        <v>32.808399999999999</v>
      </c>
      <c r="O8" s="9" t="s">
        <v>33</v>
      </c>
    </row>
    <row r="9" spans="1:15" x14ac:dyDescent="0.2">
      <c r="A9" s="9" t="s">
        <v>35</v>
      </c>
      <c r="B9" s="10">
        <v>99.659000000000006</v>
      </c>
      <c r="C9" s="9" t="s">
        <v>33</v>
      </c>
      <c r="E9" s="10">
        <v>99.659000000000006</v>
      </c>
      <c r="F9" s="9" t="s">
        <v>33</v>
      </c>
      <c r="H9" s="10">
        <v>99.659000000000006</v>
      </c>
      <c r="I9" s="9" t="s">
        <v>33</v>
      </c>
      <c r="K9" s="10">
        <v>99.659000000000006</v>
      </c>
      <c r="L9" s="9" t="s">
        <v>33</v>
      </c>
      <c r="N9" s="10">
        <v>0</v>
      </c>
      <c r="O9" s="9" t="s">
        <v>33</v>
      </c>
    </row>
    <row r="10" spans="1:15" x14ac:dyDescent="0.2">
      <c r="A10" s="9" t="s">
        <v>71</v>
      </c>
      <c r="B10" s="10">
        <v>30</v>
      </c>
      <c r="C10" s="9" t="s">
        <v>70</v>
      </c>
      <c r="E10" s="10">
        <v>30</v>
      </c>
      <c r="F10" s="9" t="s">
        <v>70</v>
      </c>
      <c r="H10" s="10">
        <v>30</v>
      </c>
      <c r="I10" s="9" t="s">
        <v>70</v>
      </c>
      <c r="K10" s="10">
        <v>30</v>
      </c>
      <c r="L10" s="9" t="s">
        <v>70</v>
      </c>
      <c r="N10" s="10">
        <v>30</v>
      </c>
      <c r="O10" s="9" t="s">
        <v>70</v>
      </c>
    </row>
    <row r="11" spans="1:15" x14ac:dyDescent="0.2">
      <c r="A11" s="9" t="s">
        <v>72</v>
      </c>
      <c r="B11" s="18">
        <f xml:space="preserve"> 1 / TAN(PI()/180 * B10)</f>
        <v>1.7320508075688774</v>
      </c>
      <c r="C11" s="9" t="s">
        <v>36</v>
      </c>
      <c r="E11" s="18">
        <f xml:space="preserve"> 1 / TAN(PI()/180 * E10)</f>
        <v>1.7320508075688774</v>
      </c>
      <c r="F11" s="9" t="s">
        <v>36</v>
      </c>
      <c r="H11" s="18">
        <f xml:space="preserve"> 1 / TAN(PI()/180 * H10)</f>
        <v>1.7320508075688774</v>
      </c>
      <c r="I11" s="9" t="s">
        <v>36</v>
      </c>
      <c r="K11" s="18">
        <f xml:space="preserve"> 1 / TAN(PI()/180 * K10)</f>
        <v>1.7320508075688774</v>
      </c>
      <c r="L11" s="9" t="s">
        <v>36</v>
      </c>
      <c r="N11" s="18">
        <f xml:space="preserve"> 1 / TAN(PI()/180 * N10)</f>
        <v>1.7320508075688774</v>
      </c>
      <c r="O11" s="9" t="s">
        <v>36</v>
      </c>
    </row>
    <row r="12" spans="1:15" x14ac:dyDescent="0.2">
      <c r="A12" s="9" t="s">
        <v>37</v>
      </c>
      <c r="B12" s="8">
        <f>2*B8*B11+B9</f>
        <v>179.21555769325369</v>
      </c>
      <c r="C12" s="9" t="s">
        <v>33</v>
      </c>
      <c r="E12" s="8">
        <f>2*E8*E11+E9</f>
        <v>179.21555769325369</v>
      </c>
      <c r="F12" s="9" t="s">
        <v>33</v>
      </c>
      <c r="H12" s="8">
        <f>2*H8*H11+H9</f>
        <v>179.21555769325369</v>
      </c>
      <c r="I12" s="9" t="s">
        <v>33</v>
      </c>
      <c r="K12" s="8">
        <f>2*K8*K11+K9</f>
        <v>213.31063143008552</v>
      </c>
      <c r="L12" s="9" t="s">
        <v>33</v>
      </c>
      <c r="N12" s="8">
        <f>2*N8*N11+N9</f>
        <v>113.65163143008552</v>
      </c>
      <c r="O12" s="9" t="s">
        <v>33</v>
      </c>
    </row>
    <row r="13" spans="1:15" x14ac:dyDescent="0.2">
      <c r="A13" s="9" t="s">
        <v>38</v>
      </c>
      <c r="B13" s="8">
        <f>(B8*B8*B11)+(B9*B8)</f>
        <v>3202.3165459916322</v>
      </c>
      <c r="C13" s="9" t="s">
        <v>32</v>
      </c>
      <c r="E13" s="8">
        <f>(E8*E8*E11)+(E9*E8)</f>
        <v>3202.3165459916322</v>
      </c>
      <c r="F13" s="9" t="s">
        <v>32</v>
      </c>
      <c r="H13" s="8">
        <f>(H8*H8*H11)+(H9*H8)</f>
        <v>3202.3165459916322</v>
      </c>
      <c r="I13" s="9" t="s">
        <v>32</v>
      </c>
      <c r="K13" s="8">
        <f>(K8*K8*K11)+(K9*K8)</f>
        <v>5134.0164279054088</v>
      </c>
      <c r="L13" s="9" t="s">
        <v>32</v>
      </c>
      <c r="N13" s="8">
        <f>(N8*N8*N11)+(N9*N8)</f>
        <v>1864.3640923054088</v>
      </c>
      <c r="O13" s="9" t="s">
        <v>32</v>
      </c>
    </row>
    <row r="14" spans="1:15" x14ac:dyDescent="0.2">
      <c r="A14" s="9" t="s">
        <v>39</v>
      </c>
      <c r="B14" s="8">
        <f>B12*B13/27</f>
        <v>21255.738729637935</v>
      </c>
      <c r="C14" s="9" t="s">
        <v>40</v>
      </c>
      <c r="E14" s="8">
        <f>E12*E13/27</f>
        <v>21255.738729637935</v>
      </c>
      <c r="F14" s="9" t="s">
        <v>40</v>
      </c>
      <c r="H14" s="8">
        <f>H12*H13/27</f>
        <v>21255.738729637935</v>
      </c>
      <c r="I14" s="9" t="s">
        <v>40</v>
      </c>
      <c r="K14" s="8">
        <f>K12*K13/27</f>
        <v>40560.751333664259</v>
      </c>
      <c r="L14" s="9" t="s">
        <v>40</v>
      </c>
      <c r="N14" s="8">
        <f>N12*N13/27</f>
        <v>7847.7044692659356</v>
      </c>
      <c r="O14" s="9" t="s">
        <v>40</v>
      </c>
    </row>
    <row r="15" spans="1:15" x14ac:dyDescent="0.2">
      <c r="A15" s="9" t="s">
        <v>41</v>
      </c>
      <c r="B15" s="8">
        <f>B7*B13/27</f>
        <v>1342470.8726552173</v>
      </c>
      <c r="C15" s="9" t="s">
        <v>40</v>
      </c>
      <c r="E15" s="8">
        <f>E7*E13/27</f>
        <v>972805.1761398979</v>
      </c>
      <c r="F15" s="9" t="s">
        <v>40</v>
      </c>
      <c r="H15" s="8">
        <f>H7*H13/27</f>
        <v>1342470.8726552173</v>
      </c>
      <c r="I15" s="9" t="s">
        <v>40</v>
      </c>
      <c r="K15" s="8">
        <f>K7*K13/27</f>
        <v>1179071.747775032</v>
      </c>
      <c r="L15" s="9" t="s">
        <v>40</v>
      </c>
      <c r="N15" s="8">
        <f>N7*N13/27</f>
        <v>470644.52522024227</v>
      </c>
      <c r="O15" s="9" t="s">
        <v>40</v>
      </c>
    </row>
    <row r="16" spans="1:15" x14ac:dyDescent="0.2">
      <c r="A16" s="9" t="s">
        <v>42</v>
      </c>
      <c r="B16" s="8">
        <f>4*B14+4*B15</f>
        <v>5454906.4455394214</v>
      </c>
      <c r="C16" s="9" t="s">
        <v>40</v>
      </c>
      <c r="E16" s="8">
        <f>4*E14+4*E15</f>
        <v>3976243.6594781433</v>
      </c>
      <c r="F16" s="9" t="s">
        <v>40</v>
      </c>
      <c r="H16" s="8">
        <f>4*H14+4*H15</f>
        <v>5454906.4455394214</v>
      </c>
      <c r="I16" s="9" t="s">
        <v>40</v>
      </c>
      <c r="K16" s="8">
        <f>4*K14+4*K15</f>
        <v>4878529.9964347845</v>
      </c>
      <c r="L16" s="9" t="s">
        <v>40</v>
      </c>
      <c r="N16" s="8">
        <f>4*N14+4*N15</f>
        <v>1913968.9187580328</v>
      </c>
      <c r="O16" s="9" t="s">
        <v>40</v>
      </c>
    </row>
    <row r="17" spans="1:15" x14ac:dyDescent="0.2">
      <c r="A17" s="9" t="s">
        <v>43</v>
      </c>
      <c r="B17" s="12">
        <v>4</v>
      </c>
      <c r="C17" s="9" t="s">
        <v>44</v>
      </c>
      <c r="E17" s="12">
        <v>4</v>
      </c>
      <c r="F17" s="9" t="s">
        <v>44</v>
      </c>
      <c r="H17" s="12">
        <v>4</v>
      </c>
      <c r="I17" s="9" t="s">
        <v>44</v>
      </c>
      <c r="K17" s="12">
        <v>4</v>
      </c>
      <c r="L17" s="9" t="s">
        <v>44</v>
      </c>
      <c r="N17" s="12">
        <v>4</v>
      </c>
      <c r="O17" s="9" t="s">
        <v>44</v>
      </c>
    </row>
    <row r="18" spans="1:15" x14ac:dyDescent="0.2">
      <c r="A18" s="9" t="s">
        <v>67</v>
      </c>
      <c r="B18" s="13">
        <f>B17*B16</f>
        <v>21819625.782157686</v>
      </c>
      <c r="C18" s="9" t="s">
        <v>45</v>
      </c>
      <c r="E18" s="13">
        <f>E17*E16</f>
        <v>15904974.637912573</v>
      </c>
      <c r="F18" s="9" t="s">
        <v>45</v>
      </c>
      <c r="H18" s="13">
        <f>H17*H16</f>
        <v>21819625.782157686</v>
      </c>
      <c r="I18" s="9" t="s">
        <v>45</v>
      </c>
      <c r="K18" s="13">
        <f>K17*K16</f>
        <v>19514119.985739138</v>
      </c>
      <c r="L18" s="9" t="s">
        <v>45</v>
      </c>
      <c r="N18" s="13">
        <f>N17*N16</f>
        <v>7655875.6750321314</v>
      </c>
      <c r="O18" s="9" t="s">
        <v>45</v>
      </c>
    </row>
    <row r="19" spans="1:15" x14ac:dyDescent="0.2">
      <c r="B19" s="13"/>
      <c r="E19" s="13"/>
      <c r="H19" s="13"/>
      <c r="K19" s="13"/>
      <c r="N19" s="13"/>
    </row>
    <row r="20" spans="1:15" x14ac:dyDescent="0.2">
      <c r="A20" s="9" t="s">
        <v>74</v>
      </c>
      <c r="B20" s="18">
        <f xml:space="preserve"> B8 * (1 / SIN(PI()/180 * B10))</f>
        <v>45.932000000000002</v>
      </c>
      <c r="C20" s="9" t="s">
        <v>33</v>
      </c>
      <c r="E20" s="18">
        <f xml:space="preserve"> E8 * (1 / SIN(PI()/180 * E10))</f>
        <v>45.932000000000002</v>
      </c>
      <c r="F20" s="9" t="s">
        <v>33</v>
      </c>
      <c r="H20" s="18">
        <f xml:space="preserve"> H8 * (1 / SIN(PI()/180 * H10))</f>
        <v>45.932000000000002</v>
      </c>
      <c r="I20" s="9" t="s">
        <v>33</v>
      </c>
      <c r="K20" s="18">
        <f xml:space="preserve"> K8 * (1 / SIN(PI()/180 * K10))</f>
        <v>65.616799999999998</v>
      </c>
      <c r="L20" s="9" t="s">
        <v>33</v>
      </c>
      <c r="N20" s="18">
        <f xml:space="preserve"> N8 * (1 / SIN(PI()/180 * N10))</f>
        <v>65.616799999999998</v>
      </c>
      <c r="O20" s="9" t="s">
        <v>33</v>
      </c>
    </row>
    <row r="21" spans="1:15" x14ac:dyDescent="0.2">
      <c r="A21" s="9" t="s">
        <v>75</v>
      </c>
      <c r="B21" s="18">
        <f xml:space="preserve"> 2 * B2 + 2 * B3</f>
        <v>15091.871999999999</v>
      </c>
      <c r="C21" s="9" t="s">
        <v>33</v>
      </c>
      <c r="E21" s="18">
        <f xml:space="preserve"> 2 * E2 + 2 * E3</f>
        <v>15091.871999999999</v>
      </c>
      <c r="F21" s="9" t="s">
        <v>33</v>
      </c>
      <c r="H21" s="18">
        <f xml:space="preserve"> 2 * H2 + 2 * H3</f>
        <v>15091.871999999999</v>
      </c>
      <c r="I21" s="9" t="s">
        <v>33</v>
      </c>
      <c r="K21" s="18">
        <f xml:space="preserve"> 2 * K2 + 2 * K3</f>
        <v>9973.753999999999</v>
      </c>
      <c r="L21" s="9" t="s">
        <v>33</v>
      </c>
      <c r="N21" s="18">
        <f xml:space="preserve"> 2 * N2 + 2 * N3</f>
        <v>9087.9259999999995</v>
      </c>
      <c r="O21" s="9" t="s">
        <v>33</v>
      </c>
    </row>
    <row r="22" spans="1:15" x14ac:dyDescent="0.2">
      <c r="A22" s="9" t="s">
        <v>73</v>
      </c>
      <c r="B22" s="18">
        <f xml:space="preserve"> B20 * B21 + 4 * B20</f>
        <v>693383.59270399995</v>
      </c>
      <c r="C22" s="9" t="s">
        <v>32</v>
      </c>
      <c r="E22" s="18">
        <f xml:space="preserve"> E20 * E21 + 4 * E20</f>
        <v>693383.59270399995</v>
      </c>
      <c r="F22" s="9" t="s">
        <v>32</v>
      </c>
      <c r="H22" s="18">
        <f xml:space="preserve"> H20 * H21 + 4 * H20</f>
        <v>693383.59270399995</v>
      </c>
      <c r="I22" s="9" t="s">
        <v>32</v>
      </c>
      <c r="K22" s="18">
        <f xml:space="preserve"> K20 * K21 + 4 * K20</f>
        <v>654708.2886671999</v>
      </c>
      <c r="L22" s="9" t="s">
        <v>32</v>
      </c>
      <c r="N22" s="18">
        <f xml:space="preserve"> N20 * N21 + 4 * N20</f>
        <v>596583.08995679987</v>
      </c>
      <c r="O22" s="9" t="s">
        <v>32</v>
      </c>
    </row>
    <row r="23" spans="1:15" x14ac:dyDescent="0.2">
      <c r="A23" s="9" t="s">
        <v>76</v>
      </c>
      <c r="B23" s="19">
        <v>1</v>
      </c>
      <c r="C23" s="9" t="s">
        <v>33</v>
      </c>
      <c r="E23" s="19">
        <v>1</v>
      </c>
      <c r="F23" s="9" t="s">
        <v>33</v>
      </c>
      <c r="H23" s="19">
        <v>1</v>
      </c>
      <c r="I23" s="9" t="s">
        <v>33</v>
      </c>
      <c r="K23" s="19">
        <v>0.5</v>
      </c>
      <c r="L23" s="9" t="s">
        <v>33</v>
      </c>
      <c r="N23" s="19">
        <v>2</v>
      </c>
      <c r="O23" s="9" t="s">
        <v>33</v>
      </c>
    </row>
    <row r="24" spans="1:15" x14ac:dyDescent="0.2">
      <c r="A24" s="9" t="s">
        <v>77</v>
      </c>
      <c r="B24" s="18">
        <f xml:space="preserve"> B22 * B23 / 27</f>
        <v>25680.87380385185</v>
      </c>
      <c r="C24" s="9" t="s">
        <v>40</v>
      </c>
      <c r="E24" s="18">
        <f xml:space="preserve"> E22 * E23 / 27</f>
        <v>25680.87380385185</v>
      </c>
      <c r="F24" s="9" t="s">
        <v>40</v>
      </c>
      <c r="H24" s="18">
        <f xml:space="preserve"> H22 * H23 / 27</f>
        <v>25680.87380385185</v>
      </c>
      <c r="I24" s="9" t="s">
        <v>40</v>
      </c>
      <c r="K24" s="18">
        <f xml:space="preserve"> K22 * K23 / 27</f>
        <v>12124.22756791111</v>
      </c>
      <c r="L24" s="9" t="s">
        <v>40</v>
      </c>
      <c r="N24" s="18">
        <f xml:space="preserve"> N22 * N23 / 27</f>
        <v>44191.339996799994</v>
      </c>
      <c r="O24" s="9" t="s">
        <v>40</v>
      </c>
    </row>
    <row r="25" spans="1:15" x14ac:dyDescent="0.2">
      <c r="A25" s="9" t="s">
        <v>68</v>
      </c>
      <c r="B25" s="12">
        <v>35</v>
      </c>
      <c r="C25" s="9" t="s">
        <v>44</v>
      </c>
      <c r="E25" s="12">
        <v>35</v>
      </c>
      <c r="F25" s="9" t="s">
        <v>44</v>
      </c>
      <c r="H25" s="12">
        <v>35</v>
      </c>
      <c r="I25" s="9" t="s">
        <v>44</v>
      </c>
      <c r="K25" s="12">
        <v>35</v>
      </c>
      <c r="L25" s="9" t="s">
        <v>44</v>
      </c>
      <c r="N25" s="12">
        <v>35</v>
      </c>
      <c r="O25" s="9" t="s">
        <v>44</v>
      </c>
    </row>
    <row r="26" spans="1:15" x14ac:dyDescent="0.2">
      <c r="A26" s="9" t="s">
        <v>69</v>
      </c>
      <c r="B26" s="13">
        <f xml:space="preserve"> B24 * B25</f>
        <v>898830.58313481475</v>
      </c>
      <c r="E26" s="13">
        <f xml:space="preserve"> E24 * E25</f>
        <v>898830.58313481475</v>
      </c>
      <c r="H26" s="13">
        <f xml:space="preserve"> H24 * H25</f>
        <v>898830.58313481475</v>
      </c>
      <c r="K26" s="13">
        <f xml:space="preserve"> K24 * K25</f>
        <v>424347.96487688884</v>
      </c>
      <c r="N26" s="13">
        <f xml:space="preserve"> N24 * N25</f>
        <v>1546696.8998879998</v>
      </c>
    </row>
    <row r="27" spans="1:15" x14ac:dyDescent="0.2">
      <c r="B27" s="13"/>
      <c r="E27" s="13"/>
      <c r="H27" s="13"/>
      <c r="K27" s="13"/>
    </row>
    <row r="28" spans="1:15" x14ac:dyDescent="0.2">
      <c r="A28" s="9" t="s">
        <v>78</v>
      </c>
      <c r="B28" s="19">
        <v>3.28084</v>
      </c>
      <c r="C28" s="9" t="s">
        <v>33</v>
      </c>
      <c r="E28" s="19">
        <v>3.28084</v>
      </c>
      <c r="F28" s="9" t="s">
        <v>33</v>
      </c>
      <c r="H28" s="19">
        <v>3.28084</v>
      </c>
      <c r="I28" s="9" t="s">
        <v>33</v>
      </c>
      <c r="K28" s="19">
        <v>0</v>
      </c>
      <c r="L28" s="9" t="s">
        <v>33</v>
      </c>
    </row>
    <row r="29" spans="1:15" x14ac:dyDescent="0.2">
      <c r="A29" s="9" t="s">
        <v>79</v>
      </c>
      <c r="B29" s="18">
        <f xml:space="preserve"> B4 * B28 / 27</f>
        <v>994045.59594866273</v>
      </c>
      <c r="C29" s="9" t="s">
        <v>40</v>
      </c>
      <c r="E29" s="18">
        <f xml:space="preserve"> E4 * E28 / 27</f>
        <v>994045.59594866273</v>
      </c>
      <c r="F29" s="9" t="s">
        <v>40</v>
      </c>
      <c r="H29" s="18">
        <f xml:space="preserve"> H4 * H28 / 27</f>
        <v>994045.59594866273</v>
      </c>
      <c r="I29" s="9" t="s">
        <v>40</v>
      </c>
      <c r="K29" s="18">
        <f xml:space="preserve"> K4 * K28 / 27</f>
        <v>0</v>
      </c>
      <c r="L29" s="9" t="s">
        <v>40</v>
      </c>
    </row>
    <row r="30" spans="1:15" x14ac:dyDescent="0.2">
      <c r="A30" s="9" t="s">
        <v>80</v>
      </c>
      <c r="B30" s="12">
        <v>20</v>
      </c>
      <c r="C30" s="9" t="s">
        <v>44</v>
      </c>
      <c r="E30" s="12">
        <v>20</v>
      </c>
      <c r="F30" s="9" t="s">
        <v>44</v>
      </c>
      <c r="H30" s="12">
        <v>20</v>
      </c>
      <c r="I30" s="9" t="s">
        <v>44</v>
      </c>
      <c r="K30" s="12">
        <v>20</v>
      </c>
      <c r="L30" s="9" t="s">
        <v>44</v>
      </c>
    </row>
    <row r="31" spans="1:15" x14ac:dyDescent="0.2">
      <c r="A31" s="9" t="s">
        <v>81</v>
      </c>
      <c r="B31" s="13">
        <f xml:space="preserve"> B29 * B30</f>
        <v>19880911.918973256</v>
      </c>
      <c r="E31" s="13">
        <f xml:space="preserve"> E29 * E30</f>
        <v>19880911.918973256</v>
      </c>
      <c r="H31" s="13">
        <f xml:space="preserve"> H29 * H30</f>
        <v>19880911.918973256</v>
      </c>
      <c r="K31" s="13">
        <f xml:space="preserve"> K29 * K30</f>
        <v>0</v>
      </c>
    </row>
    <row r="32" spans="1:15" x14ac:dyDescent="0.2">
      <c r="B32" s="13"/>
      <c r="E32" s="13"/>
      <c r="H32" s="13"/>
      <c r="K32" s="13"/>
    </row>
    <row r="33" spans="1:12" x14ac:dyDescent="0.2">
      <c r="A33" s="9" t="s">
        <v>85</v>
      </c>
      <c r="B33" s="19">
        <v>1.64042</v>
      </c>
      <c r="C33" s="9" t="s">
        <v>33</v>
      </c>
      <c r="E33" s="19">
        <v>1.64042</v>
      </c>
      <c r="F33" s="9" t="s">
        <v>33</v>
      </c>
      <c r="H33" s="19">
        <v>1.64042</v>
      </c>
      <c r="I33" s="9" t="s">
        <v>33</v>
      </c>
      <c r="K33" s="19">
        <v>0</v>
      </c>
      <c r="L33" s="9" t="s">
        <v>33</v>
      </c>
    </row>
    <row r="34" spans="1:12" x14ac:dyDescent="0.2">
      <c r="A34" s="9" t="s">
        <v>86</v>
      </c>
      <c r="B34" s="19">
        <v>6.56168</v>
      </c>
      <c r="C34" s="9" t="s">
        <v>33</v>
      </c>
      <c r="E34" s="19">
        <v>6.56168</v>
      </c>
      <c r="F34" s="9" t="s">
        <v>33</v>
      </c>
      <c r="H34" s="19">
        <v>6.56168</v>
      </c>
      <c r="I34" s="9" t="s">
        <v>33</v>
      </c>
      <c r="K34" s="19">
        <v>0</v>
      </c>
      <c r="L34" s="9" t="s">
        <v>33</v>
      </c>
    </row>
    <row r="35" spans="1:12" x14ac:dyDescent="0.2">
      <c r="A35" s="9" t="s">
        <v>83</v>
      </c>
      <c r="B35" s="18">
        <f xml:space="preserve"> ((B4 * B33) + (B4 * (B34 - B33)/2)) / 27</f>
        <v>1242556.9949358285</v>
      </c>
      <c r="C35" s="9" t="s">
        <v>40</v>
      </c>
      <c r="E35" s="18">
        <f xml:space="preserve"> ((E4 * E33) + (E4 * (E34 - E33)/2)) / 27</f>
        <v>1242556.9949358285</v>
      </c>
      <c r="F35" s="9" t="s">
        <v>40</v>
      </c>
      <c r="H35" s="18">
        <f xml:space="preserve"> ((H4 * H33) + (H4 * (H34 - H33)/2)) / 27</f>
        <v>1242556.9949358285</v>
      </c>
      <c r="I35" s="9" t="s">
        <v>40</v>
      </c>
      <c r="K35" s="18">
        <f xml:space="preserve"> ((K4 * K33) + (K4 * (K34 - K33)/2)) / 27</f>
        <v>0</v>
      </c>
      <c r="L35" s="9" t="s">
        <v>40</v>
      </c>
    </row>
    <row r="36" spans="1:12" x14ac:dyDescent="0.2">
      <c r="A36" s="9" t="s">
        <v>84</v>
      </c>
      <c r="B36" s="12">
        <v>15</v>
      </c>
      <c r="C36" s="9" t="s">
        <v>44</v>
      </c>
      <c r="E36" s="12">
        <v>15</v>
      </c>
      <c r="F36" s="9" t="s">
        <v>44</v>
      </c>
      <c r="H36" s="12">
        <v>15</v>
      </c>
      <c r="I36" s="9" t="s">
        <v>44</v>
      </c>
      <c r="K36" s="12">
        <v>15</v>
      </c>
      <c r="L36" s="9" t="s">
        <v>44</v>
      </c>
    </row>
    <row r="37" spans="1:12" x14ac:dyDescent="0.2">
      <c r="A37" s="9" t="s">
        <v>82</v>
      </c>
      <c r="B37" s="13">
        <f xml:space="preserve"> B35 * B36</f>
        <v>18638354.924037427</v>
      </c>
      <c r="E37" s="13">
        <f xml:space="preserve"> E35 * E36</f>
        <v>18638354.924037427</v>
      </c>
      <c r="H37" s="13">
        <f xml:space="preserve"> H35 * H36</f>
        <v>18638354.924037427</v>
      </c>
      <c r="K37" s="13">
        <f xml:space="preserve"> K35 * K36</f>
        <v>0</v>
      </c>
    </row>
    <row r="39" spans="1:12" x14ac:dyDescent="0.2">
      <c r="A39" s="9" t="s">
        <v>87</v>
      </c>
      <c r="B39" s="20">
        <f xml:space="preserve"> B4</f>
        <v>8180597.3746399991</v>
      </c>
      <c r="C39" s="9" t="s">
        <v>32</v>
      </c>
      <c r="E39" s="20">
        <f xml:space="preserve"> E4</f>
        <v>8180597.3746399991</v>
      </c>
      <c r="F39" s="9" t="s">
        <v>32</v>
      </c>
      <c r="H39" s="20">
        <f xml:space="preserve"> H4</f>
        <v>8180597.3746399991</v>
      </c>
      <c r="I39" s="9" t="s">
        <v>32</v>
      </c>
      <c r="K39" s="20">
        <v>0</v>
      </c>
      <c r="L39" s="9" t="s">
        <v>32</v>
      </c>
    </row>
    <row r="40" spans="1:12" x14ac:dyDescent="0.2">
      <c r="A40" s="9" t="s">
        <v>91</v>
      </c>
      <c r="B40" s="10">
        <v>15</v>
      </c>
      <c r="C40" s="9" t="s">
        <v>33</v>
      </c>
      <c r="E40" s="10">
        <v>15</v>
      </c>
      <c r="F40" s="9" t="s">
        <v>33</v>
      </c>
      <c r="H40" s="10">
        <v>15</v>
      </c>
      <c r="I40" s="9" t="s">
        <v>33</v>
      </c>
      <c r="K40" s="10">
        <v>15</v>
      </c>
      <c r="L40" s="9" t="s">
        <v>33</v>
      </c>
    </row>
    <row r="41" spans="1:12" x14ac:dyDescent="0.2">
      <c r="A41" s="9" t="s">
        <v>90</v>
      </c>
      <c r="B41" s="10">
        <v>360</v>
      </c>
      <c r="C41" s="9" t="s">
        <v>33</v>
      </c>
      <c r="E41" s="10">
        <v>360</v>
      </c>
      <c r="F41" s="9" t="s">
        <v>33</v>
      </c>
      <c r="H41" s="10">
        <v>360</v>
      </c>
      <c r="I41" s="9" t="s">
        <v>33</v>
      </c>
      <c r="K41" s="10">
        <v>360</v>
      </c>
      <c r="L41" s="9" t="s">
        <v>33</v>
      </c>
    </row>
    <row r="42" spans="1:12" x14ac:dyDescent="0.2">
      <c r="A42" s="9" t="s">
        <v>89</v>
      </c>
      <c r="B42" s="12">
        <v>1022.86</v>
      </c>
      <c r="C42" s="9" t="s">
        <v>46</v>
      </c>
      <c r="E42" s="12">
        <v>1022.86</v>
      </c>
      <c r="F42" s="9" t="s">
        <v>46</v>
      </c>
      <c r="H42" s="12">
        <v>1022.86</v>
      </c>
      <c r="I42" s="9" t="s">
        <v>46</v>
      </c>
      <c r="K42" s="12">
        <v>1022.86</v>
      </c>
      <c r="L42" s="9" t="s">
        <v>46</v>
      </c>
    </row>
    <row r="43" spans="1:12" x14ac:dyDescent="0.2">
      <c r="A43" s="9" t="s">
        <v>47</v>
      </c>
      <c r="B43" s="14">
        <f>ROUNDUP(B39/(B40*B41),0)</f>
        <v>1515</v>
      </c>
      <c r="E43" s="14">
        <f>ROUNDUP(E39/(E40*E41),0)</f>
        <v>1515</v>
      </c>
      <c r="H43" s="14">
        <f>ROUNDUP(H39/(H40*H41),0)</f>
        <v>1515</v>
      </c>
      <c r="K43" s="14">
        <f>ROUNDUP(K39/(K40*K41),0)</f>
        <v>0</v>
      </c>
    </row>
    <row r="44" spans="1:12" x14ac:dyDescent="0.2">
      <c r="A44" s="9" t="s">
        <v>88</v>
      </c>
      <c r="B44" s="13">
        <f>B42*B43</f>
        <v>1549632.9</v>
      </c>
      <c r="E44" s="13">
        <f>E42*E43</f>
        <v>1549632.9</v>
      </c>
      <c r="H44" s="13">
        <f>H42*H43</f>
        <v>1549632.9</v>
      </c>
      <c r="K44" s="13">
        <f>K42*K43</f>
        <v>0</v>
      </c>
    </row>
    <row r="46" spans="1:12" x14ac:dyDescent="0.2">
      <c r="A46" s="9" t="s">
        <v>48</v>
      </c>
      <c r="B46" s="10">
        <v>48</v>
      </c>
      <c r="C46" s="9" t="s">
        <v>33</v>
      </c>
      <c r="E46" s="10">
        <v>48</v>
      </c>
      <c r="F46" s="9" t="s">
        <v>33</v>
      </c>
      <c r="H46" s="10">
        <v>48</v>
      </c>
      <c r="I46" s="9" t="s">
        <v>33</v>
      </c>
      <c r="K46" s="10">
        <v>48</v>
      </c>
      <c r="L46" s="9" t="s">
        <v>33</v>
      </c>
    </row>
    <row r="47" spans="1:12" x14ac:dyDescent="0.2">
      <c r="A47" s="9" t="s">
        <v>49</v>
      </c>
      <c r="B47" s="10">
        <v>102</v>
      </c>
      <c r="C47" s="9" t="s">
        <v>33</v>
      </c>
      <c r="E47" s="10">
        <v>102</v>
      </c>
      <c r="F47" s="9" t="s">
        <v>33</v>
      </c>
      <c r="H47" s="10">
        <v>102</v>
      </c>
      <c r="I47" s="9" t="s">
        <v>33</v>
      </c>
      <c r="K47" s="10">
        <v>102</v>
      </c>
      <c r="L47" s="9" t="s">
        <v>33</v>
      </c>
    </row>
    <row r="48" spans="1:12" x14ac:dyDescent="0.2">
      <c r="A48" s="9" t="s">
        <v>50</v>
      </c>
      <c r="B48" s="12">
        <v>2399.04</v>
      </c>
      <c r="C48" s="9" t="s">
        <v>46</v>
      </c>
      <c r="E48" s="12">
        <v>2399.04</v>
      </c>
      <c r="F48" s="9" t="s">
        <v>46</v>
      </c>
      <c r="H48" s="12">
        <v>2399.04</v>
      </c>
      <c r="I48" s="9" t="s">
        <v>46</v>
      </c>
      <c r="K48" s="12">
        <v>2399.04</v>
      </c>
      <c r="L48" s="9" t="s">
        <v>46</v>
      </c>
    </row>
    <row r="49" spans="1:12" x14ac:dyDescent="0.2">
      <c r="A49" s="9" t="s">
        <v>47</v>
      </c>
      <c r="B49" s="14">
        <f>ROUNDUP(B4/(B46*B47),0)</f>
        <v>1671</v>
      </c>
      <c r="E49" s="14">
        <f>ROUNDUP(E4/(E46*E47),0)</f>
        <v>1671</v>
      </c>
      <c r="H49" s="14">
        <f>ROUNDUP(H4/(H46*H47),0)</f>
        <v>1671</v>
      </c>
      <c r="K49" s="14">
        <f>ROUNDUP(K4/(K46*K47),0)</f>
        <v>629</v>
      </c>
    </row>
    <row r="50" spans="1:12" x14ac:dyDescent="0.2">
      <c r="A50" s="9" t="s">
        <v>51</v>
      </c>
      <c r="B50" s="13">
        <f>B48*B49</f>
        <v>4008795.84</v>
      </c>
      <c r="E50" s="13">
        <f>E48*E49</f>
        <v>4008795.84</v>
      </c>
      <c r="H50" s="13">
        <f>H48*H49</f>
        <v>4008795.84</v>
      </c>
      <c r="K50" s="13">
        <f>K48*K49</f>
        <v>1508996.16</v>
      </c>
    </row>
    <row r="51" spans="1:12" x14ac:dyDescent="0.2">
      <c r="B51" s="13"/>
      <c r="E51" s="13"/>
      <c r="H51" s="13"/>
      <c r="K51" s="13"/>
    </row>
    <row r="52" spans="1:12" x14ac:dyDescent="0.2">
      <c r="A52" s="9" t="s">
        <v>92</v>
      </c>
      <c r="B52" s="21">
        <v>32</v>
      </c>
      <c r="C52" s="9" t="s">
        <v>93</v>
      </c>
      <c r="E52" s="21">
        <v>32</v>
      </c>
      <c r="F52" s="9" t="s">
        <v>93</v>
      </c>
      <c r="H52" s="21">
        <v>32</v>
      </c>
      <c r="I52" s="9" t="s">
        <v>93</v>
      </c>
      <c r="K52" s="21">
        <v>0</v>
      </c>
      <c r="L52" s="9" t="s">
        <v>93</v>
      </c>
    </row>
    <row r="53" spans="1:12" x14ac:dyDescent="0.2">
      <c r="A53" s="9" t="s">
        <v>94</v>
      </c>
      <c r="B53" s="10">
        <v>157.47999999999999</v>
      </c>
      <c r="C53" s="9" t="s">
        <v>33</v>
      </c>
      <c r="E53" s="10">
        <v>157.47999999999999</v>
      </c>
      <c r="F53" s="9" t="s">
        <v>33</v>
      </c>
      <c r="H53" s="10">
        <v>157.47999999999999</v>
      </c>
      <c r="I53" s="9" t="s">
        <v>33</v>
      </c>
      <c r="K53" s="10">
        <v>157.47999999999999</v>
      </c>
      <c r="L53" s="9" t="s">
        <v>33</v>
      </c>
    </row>
    <row r="54" spans="1:12" x14ac:dyDescent="0.2">
      <c r="A54" s="9" t="s">
        <v>95</v>
      </c>
      <c r="B54" s="12">
        <v>87.56</v>
      </c>
      <c r="C54" s="9" t="s">
        <v>96</v>
      </c>
      <c r="E54" s="12">
        <v>87.56</v>
      </c>
      <c r="F54" s="9" t="s">
        <v>96</v>
      </c>
      <c r="H54" s="12">
        <v>87.56</v>
      </c>
      <c r="I54" s="9" t="s">
        <v>96</v>
      </c>
      <c r="K54" s="12">
        <v>87.56</v>
      </c>
      <c r="L54" s="9" t="s">
        <v>96</v>
      </c>
    </row>
    <row r="55" spans="1:12" x14ac:dyDescent="0.2">
      <c r="A55" s="9" t="s">
        <v>97</v>
      </c>
      <c r="B55" s="13">
        <f xml:space="preserve"> B52 * B53 * B54</f>
        <v>441246.3616</v>
      </c>
      <c r="E55" s="13">
        <f xml:space="preserve"> E52 * E53 * E54</f>
        <v>441246.3616</v>
      </c>
      <c r="H55" s="13">
        <f xml:space="preserve"> H52 * H53 * H54</f>
        <v>441246.3616</v>
      </c>
      <c r="K55" s="13">
        <f xml:space="preserve"> K52 * K53 * K54</f>
        <v>0</v>
      </c>
    </row>
    <row r="56" spans="1:12" x14ac:dyDescent="0.2">
      <c r="B56" s="13"/>
      <c r="E56" s="13"/>
      <c r="H56" s="13"/>
      <c r="K56" s="13"/>
    </row>
    <row r="57" spans="1:12" x14ac:dyDescent="0.2">
      <c r="A57" s="9" t="s">
        <v>103</v>
      </c>
      <c r="B57" s="21">
        <v>32</v>
      </c>
      <c r="C57" s="9" t="s">
        <v>93</v>
      </c>
      <c r="E57" s="21">
        <v>32</v>
      </c>
      <c r="F57" s="9" t="s">
        <v>93</v>
      </c>
      <c r="H57" s="21">
        <v>32</v>
      </c>
      <c r="I57" s="9" t="s">
        <v>93</v>
      </c>
      <c r="K57" s="21">
        <v>0</v>
      </c>
      <c r="L57" s="9" t="s">
        <v>93</v>
      </c>
    </row>
    <row r="58" spans="1:12" x14ac:dyDescent="0.2">
      <c r="A58" s="9" t="s">
        <v>102</v>
      </c>
      <c r="B58" s="12">
        <v>63000</v>
      </c>
      <c r="C58" s="9" t="s">
        <v>46</v>
      </c>
      <c r="E58" s="12">
        <v>63000</v>
      </c>
      <c r="F58" s="9" t="s">
        <v>46</v>
      </c>
      <c r="H58" s="12">
        <v>63000</v>
      </c>
      <c r="I58" s="9" t="s">
        <v>46</v>
      </c>
      <c r="K58" s="12">
        <v>63000</v>
      </c>
      <c r="L58" s="9" t="s">
        <v>46</v>
      </c>
    </row>
    <row r="59" spans="1:12" x14ac:dyDescent="0.2">
      <c r="A59" s="9" t="s">
        <v>104</v>
      </c>
      <c r="B59" s="13">
        <f xml:space="preserve"> B57 * B58</f>
        <v>2016000</v>
      </c>
      <c r="E59" s="13">
        <f xml:space="preserve"> E57 * E58</f>
        <v>2016000</v>
      </c>
      <c r="H59" s="13">
        <f xml:space="preserve"> H57 * H58</f>
        <v>2016000</v>
      </c>
      <c r="K59" s="13">
        <f xml:space="preserve"> K57 * K58</f>
        <v>0</v>
      </c>
    </row>
    <row r="60" spans="1:12" x14ac:dyDescent="0.2">
      <c r="B60" s="13"/>
      <c r="E60" s="13"/>
      <c r="H60" s="13"/>
      <c r="K60" s="13"/>
    </row>
    <row r="61" spans="1:12" x14ac:dyDescent="0.2">
      <c r="A61" s="9" t="s">
        <v>98</v>
      </c>
      <c r="B61" s="21">
        <v>8</v>
      </c>
      <c r="C61" s="9" t="s">
        <v>93</v>
      </c>
      <c r="E61" s="21">
        <v>8</v>
      </c>
      <c r="F61" s="9" t="s">
        <v>93</v>
      </c>
      <c r="H61" s="21">
        <v>8</v>
      </c>
      <c r="I61" s="9" t="s">
        <v>93</v>
      </c>
      <c r="K61" s="21">
        <v>0</v>
      </c>
      <c r="L61" s="9" t="s">
        <v>93</v>
      </c>
    </row>
    <row r="62" spans="1:12" x14ac:dyDescent="0.2">
      <c r="A62" s="9" t="s">
        <v>99</v>
      </c>
      <c r="B62" s="10">
        <v>164</v>
      </c>
      <c r="C62" s="9" t="s">
        <v>33</v>
      </c>
      <c r="E62" s="10">
        <v>164</v>
      </c>
      <c r="F62" s="9" t="s">
        <v>33</v>
      </c>
      <c r="H62" s="10">
        <v>164</v>
      </c>
      <c r="I62" s="9" t="s">
        <v>33</v>
      </c>
      <c r="K62" s="10">
        <v>164</v>
      </c>
      <c r="L62" s="9" t="s">
        <v>33</v>
      </c>
    </row>
    <row r="63" spans="1:12" x14ac:dyDescent="0.2">
      <c r="A63" s="9" t="s">
        <v>100</v>
      </c>
      <c r="B63" s="12">
        <v>87.56</v>
      </c>
      <c r="C63" s="9" t="s">
        <v>96</v>
      </c>
      <c r="E63" s="12">
        <v>87.56</v>
      </c>
      <c r="F63" s="9" t="s">
        <v>96</v>
      </c>
      <c r="H63" s="12">
        <v>87.56</v>
      </c>
      <c r="I63" s="9" t="s">
        <v>96</v>
      </c>
      <c r="K63" s="12">
        <v>87.56</v>
      </c>
      <c r="L63" s="9" t="s">
        <v>96</v>
      </c>
    </row>
    <row r="64" spans="1:12" x14ac:dyDescent="0.2">
      <c r="A64" s="9" t="s">
        <v>101</v>
      </c>
      <c r="B64" s="13">
        <f xml:space="preserve"> B61 * B62 * B63</f>
        <v>114878.72</v>
      </c>
      <c r="E64" s="13">
        <f xml:space="preserve"> E61 * E62 * E63</f>
        <v>114878.72</v>
      </c>
      <c r="H64" s="13">
        <f xml:space="preserve"> H61 * H62 * H63</f>
        <v>114878.72</v>
      </c>
      <c r="K64" s="13">
        <f xml:space="preserve"> K61 * K62 * K63</f>
        <v>0</v>
      </c>
    </row>
    <row r="66" spans="1:14" x14ac:dyDescent="0.2">
      <c r="A66" s="9" t="s">
        <v>52</v>
      </c>
      <c r="B66" s="13">
        <f>SUM(B18,B26,B31,B37,B44,B50,B55,B59,B64)</f>
        <v>69368277.029903173</v>
      </c>
      <c r="E66" s="13">
        <f>SUM(E18,E26,E31,E37,E44,E50,E55,E59,E64)</f>
        <v>63453625.885658056</v>
      </c>
      <c r="H66" s="13">
        <f>SUM(H18,H26,H31,H37,H44,H50,H55,H59,H64)</f>
        <v>69368277.029903173</v>
      </c>
      <c r="K66" s="13">
        <f>SUM(K18,K26,K31,K37,K44,K50,K55,K59,K64)</f>
        <v>21447464.110616028</v>
      </c>
      <c r="N66" s="13">
        <f>SUM(N18,N26,N31,N37,N44,N50,N55,N59,N64)</f>
        <v>9202572.5749201309</v>
      </c>
    </row>
    <row r="67" spans="1:14" x14ac:dyDescent="0.2">
      <c r="A67" s="9" t="s">
        <v>53</v>
      </c>
      <c r="B67" s="13">
        <f xml:space="preserve"> B66 / B5</f>
        <v>369371.82079023373</v>
      </c>
      <c r="E67" s="13">
        <f xml:space="preserve"> E66 / E5</f>
        <v>337877.51884084148</v>
      </c>
      <c r="H67" s="13">
        <f xml:space="preserve"> H66 / H5</f>
        <v>369371.82079023373</v>
      </c>
      <c r="K67" s="13">
        <f xml:space="preserve"> K66 / K5</f>
        <v>303478.24571793462</v>
      </c>
      <c r="N67" s="13"/>
    </row>
    <row r="68" spans="1:14" x14ac:dyDescent="0.2">
      <c r="A68" s="7" t="s">
        <v>108</v>
      </c>
      <c r="B68" s="22">
        <f xml:space="preserve"> SUM(B66,E66,H66,K66,N66)</f>
        <v>232840216.63100055</v>
      </c>
      <c r="E68" s="13"/>
      <c r="H68" s="13"/>
      <c r="K68" s="13"/>
    </row>
    <row r="69" spans="1:14" x14ac:dyDescent="0.2">
      <c r="B69" s="13"/>
      <c r="E69" s="13"/>
      <c r="H69" s="13"/>
      <c r="K69" s="13"/>
    </row>
    <row r="71" spans="1:14" x14ac:dyDescent="0.2">
      <c r="A71" s="9" t="s">
        <v>54</v>
      </c>
      <c r="B71" s="15">
        <v>10</v>
      </c>
      <c r="C71" s="9" t="s">
        <v>55</v>
      </c>
      <c r="E71" s="15">
        <v>10</v>
      </c>
      <c r="F71" s="9" t="s">
        <v>55</v>
      </c>
      <c r="H71" s="15">
        <v>10</v>
      </c>
      <c r="I71" s="9" t="s">
        <v>55</v>
      </c>
      <c r="K71" s="15">
        <v>10</v>
      </c>
      <c r="L71" s="9" t="s">
        <v>55</v>
      </c>
    </row>
    <row r="72" spans="1:14" x14ac:dyDescent="0.2">
      <c r="A72" s="9" t="s">
        <v>56</v>
      </c>
      <c r="B72" s="16">
        <f>B5*B71</f>
        <v>1878.0067434894397</v>
      </c>
      <c r="C72" s="9" t="s">
        <v>55</v>
      </c>
      <c r="E72" s="16">
        <f>E5*E71</f>
        <v>1878.0067434894397</v>
      </c>
      <c r="F72" s="9" t="s">
        <v>55</v>
      </c>
      <c r="H72" s="16">
        <f>H5*H71</f>
        <v>1878.0067434894397</v>
      </c>
      <c r="I72" s="9" t="s">
        <v>55</v>
      </c>
      <c r="K72" s="16">
        <f>K5*K71</f>
        <v>706.72163205234153</v>
      </c>
      <c r="L72" s="9" t="s">
        <v>55</v>
      </c>
    </row>
    <row r="73" spans="1:14" x14ac:dyDescent="0.2">
      <c r="A73" s="9" t="s">
        <v>58</v>
      </c>
      <c r="B73" s="15">
        <v>600</v>
      </c>
      <c r="C73" s="9" t="s">
        <v>55</v>
      </c>
      <c r="E73" s="15">
        <v>600</v>
      </c>
      <c r="F73" s="9" t="s">
        <v>55</v>
      </c>
      <c r="H73" s="15">
        <v>600</v>
      </c>
      <c r="I73" s="9" t="s">
        <v>55</v>
      </c>
      <c r="K73" s="15">
        <v>600</v>
      </c>
      <c r="L73" s="9" t="s">
        <v>55</v>
      </c>
    </row>
    <row r="74" spans="1:14" x14ac:dyDescent="0.2">
      <c r="A74" s="9" t="s">
        <v>59</v>
      </c>
      <c r="B74" s="16">
        <f>B5*B73</f>
        <v>112680.40460936638</v>
      </c>
      <c r="C74" s="9" t="s">
        <v>55</v>
      </c>
      <c r="E74" s="16">
        <f>E5*E73</f>
        <v>112680.40460936638</v>
      </c>
      <c r="F74" s="9" t="s">
        <v>55</v>
      </c>
      <c r="H74" s="16">
        <f>H5*H73</f>
        <v>112680.40460936638</v>
      </c>
      <c r="I74" s="9" t="s">
        <v>55</v>
      </c>
      <c r="K74" s="16">
        <f>K5*K73</f>
        <v>42403.297923140497</v>
      </c>
      <c r="L74" s="9" t="s">
        <v>55</v>
      </c>
    </row>
    <row r="75" spans="1:14" x14ac:dyDescent="0.2">
      <c r="A75" s="9" t="s">
        <v>60</v>
      </c>
      <c r="B75" s="16">
        <f xml:space="preserve"> B72 + B74</f>
        <v>114558.41135285582</v>
      </c>
      <c r="C75" s="9" t="s">
        <v>55</v>
      </c>
      <c r="E75" s="16">
        <f xml:space="preserve"> E72 + E74</f>
        <v>114558.41135285582</v>
      </c>
      <c r="F75" s="9" t="s">
        <v>55</v>
      </c>
      <c r="H75" s="16">
        <f xml:space="preserve"> H72 + H74</f>
        <v>114558.41135285582</v>
      </c>
      <c r="I75" s="9" t="s">
        <v>55</v>
      </c>
      <c r="K75" s="16">
        <f xml:space="preserve"> K72 + K74</f>
        <v>43110.019555192841</v>
      </c>
      <c r="L75" s="9" t="s">
        <v>55</v>
      </c>
    </row>
    <row r="76" spans="1:14" x14ac:dyDescent="0.2">
      <c r="A76" s="9" t="s">
        <v>61</v>
      </c>
      <c r="B76" s="16">
        <f xml:space="preserve"> B75 / B5</f>
        <v>610</v>
      </c>
      <c r="C76" s="9" t="s">
        <v>55</v>
      </c>
      <c r="E76" s="16">
        <f xml:space="preserve"> E75 / E5</f>
        <v>610</v>
      </c>
      <c r="F76" s="9" t="s">
        <v>55</v>
      </c>
      <c r="H76" s="16">
        <f xml:space="preserve"> H75 / H5</f>
        <v>610</v>
      </c>
      <c r="I76" s="9" t="s">
        <v>55</v>
      </c>
      <c r="K76" s="16">
        <f xml:space="preserve"> K75 / K5</f>
        <v>610.00000000000011</v>
      </c>
      <c r="L76" s="9" t="s">
        <v>55</v>
      </c>
    </row>
    <row r="77" spans="1:14" x14ac:dyDescent="0.2">
      <c r="A77" s="7" t="s">
        <v>109</v>
      </c>
      <c r="B77" s="22">
        <f xml:space="preserve"> SUM(B75,E75,H75,K75)</f>
        <v>386785.25361376029</v>
      </c>
      <c r="E77" s="16"/>
      <c r="H77" s="16"/>
      <c r="K77" s="16"/>
    </row>
  </sheetData>
  <sheetProtection selectLockedCells="1" selectUnlockedCells="1"/>
  <dataConsolidate/>
  <printOptions gridLines="1"/>
  <pageMargins left="0.78749999999999998" right="0.78749999999999998" top="1.0249999999999999" bottom="1.0249999999999999" header="0.78749999999999998" footer="0.78749999999999998"/>
  <pageSetup scale="80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B4" sqref="B4"/>
    </sheetView>
  </sheetViews>
  <sheetFormatPr defaultRowHeight="15" x14ac:dyDescent="0.25"/>
  <cols>
    <col min="1" max="1" width="58.42578125" customWidth="1"/>
    <col min="2" max="2" width="11.42578125" customWidth="1"/>
    <col min="3" max="3" width="15" customWidth="1"/>
    <col min="4" max="4" width="8.42578125" customWidth="1"/>
    <col min="7" max="7" width="10.42578125" customWidth="1"/>
    <col min="8" max="8" width="9.7109375" customWidth="1"/>
  </cols>
  <sheetData>
    <row r="1" spans="1:9" ht="75" x14ac:dyDescent="0.25">
      <c r="B1" s="1" t="s">
        <v>17</v>
      </c>
      <c r="C1" s="1" t="s">
        <v>2</v>
      </c>
      <c r="D1" s="1" t="s">
        <v>16</v>
      </c>
      <c r="E1" s="1" t="s">
        <v>0</v>
      </c>
      <c r="F1" s="1" t="s">
        <v>19</v>
      </c>
      <c r="G1" s="1" t="s">
        <v>21</v>
      </c>
      <c r="H1" s="1" t="s">
        <v>22</v>
      </c>
      <c r="I1" s="1" t="s">
        <v>25</v>
      </c>
    </row>
    <row r="2" spans="1:9" x14ac:dyDescent="0.25">
      <c r="A2" s="1" t="s">
        <v>12</v>
      </c>
      <c r="B2">
        <v>30</v>
      </c>
      <c r="C2">
        <f t="shared" ref="C2:C41" si="0" xml:space="preserve"> B$5 - D2</f>
        <v>0</v>
      </c>
      <c r="D2">
        <v>4</v>
      </c>
      <c r="E2" s="5">
        <f t="shared" ref="E2:E41" si="1" xml:space="preserve"> B$13 * D2 / B$7 * B$8 * B$9</f>
        <v>258.40000000000003</v>
      </c>
      <c r="F2" s="3">
        <f xml:space="preserve"> $D2 * $B$8 * $B$9 + $D2 / $B$3 * ($B$8 + $B$9)</f>
        <v>3055934.8674296336</v>
      </c>
      <c r="G2" s="3">
        <f xml:space="preserve">  $B$4 * $B$8 * $B$9 + $D2 / $B$3 * $B$4 * ($B$8 + $B$9)</f>
        <v>77593.486742963374</v>
      </c>
      <c r="H2" s="5">
        <f xml:space="preserve"> G2 / E2</f>
        <v>300.28439142013684</v>
      </c>
      <c r="I2" s="5">
        <f xml:space="preserve"> F2 /  1233.48</f>
        <v>2477.490407164797</v>
      </c>
    </row>
    <row r="3" spans="1:9" x14ac:dyDescent="0.25">
      <c r="A3" s="1" t="s">
        <v>13</v>
      </c>
      <c r="B3">
        <f xml:space="preserve"> TAN(PI()/180 * $B$2)</f>
        <v>0.57735026918962573</v>
      </c>
      <c r="C3">
        <f t="shared" si="0"/>
        <v>0.10000000000000009</v>
      </c>
      <c r="D3">
        <f t="shared" ref="D3:D41" si="2" xml:space="preserve"> D2 - B$4</f>
        <v>3.9</v>
      </c>
      <c r="E3" s="5">
        <f t="shared" si="1"/>
        <v>251.94000000000005</v>
      </c>
      <c r="F3" s="3">
        <f xml:space="preserve"> $D3 * $B$8 * $B$9 + $D3 / $B$3 * ($B$8 + $B$9)</f>
        <v>2979536.4957438926</v>
      </c>
      <c r="G3" s="3">
        <f xml:space="preserve">  $B$4 * $B$8 * $B$9 + $D3 / $B$3 * $B$4 * ($B$8 + $B$9)</f>
        <v>77553.649574389288</v>
      </c>
      <c r="H3" s="5">
        <f t="shared" ref="H3:H41" si="3" xml:space="preserve"> G3 / E3</f>
        <v>307.82586954985027</v>
      </c>
      <c r="I3" s="5">
        <f t="shared" ref="I3:I41" si="4" xml:space="preserve"> F3 /  1233.48</f>
        <v>2415.5531469856769</v>
      </c>
    </row>
    <row r="4" spans="1:9" x14ac:dyDescent="0.25">
      <c r="A4" s="1" t="s">
        <v>20</v>
      </c>
      <c r="B4">
        <v>0.1</v>
      </c>
      <c r="C4">
        <f t="shared" si="0"/>
        <v>0.20000000000000018</v>
      </c>
      <c r="D4">
        <f t="shared" si="2"/>
        <v>3.8</v>
      </c>
      <c r="E4" s="5">
        <f t="shared" si="1"/>
        <v>245.48000000000002</v>
      </c>
      <c r="F4" s="3">
        <f t="shared" ref="F4:F41" si="5" xml:space="preserve"> $D4 * $B$8 * $B$9 + $D4 / $B$3 * ($B$8 + $B$9)</f>
        <v>2903138.1240581521</v>
      </c>
      <c r="G4" s="3">
        <f xml:space="preserve">  $B$4 * $B$8 * $B$9 + $D4 / $B$3 * $B$4 * ($B$8 + $B$9)</f>
        <v>77513.812405815203</v>
      </c>
      <c r="H4" s="5">
        <f t="shared" si="3"/>
        <v>315.76426758112757</v>
      </c>
      <c r="I4" s="5">
        <f t="shared" si="4"/>
        <v>2353.6158868065572</v>
      </c>
    </row>
    <row r="5" spans="1:9" x14ac:dyDescent="0.25">
      <c r="A5" s="1" t="s">
        <v>1</v>
      </c>
      <c r="B5">
        <v>4</v>
      </c>
      <c r="C5">
        <f t="shared" si="0"/>
        <v>0.30000000000000027</v>
      </c>
      <c r="D5">
        <f t="shared" si="2"/>
        <v>3.6999999999999997</v>
      </c>
      <c r="E5" s="5">
        <f t="shared" si="1"/>
        <v>239.01999999999998</v>
      </c>
      <c r="F5" s="3">
        <f t="shared" si="5"/>
        <v>2826739.7523724111</v>
      </c>
      <c r="G5" s="3">
        <f t="shared" ref="G5:G41" si="6" xml:space="preserve">  $B$4 * $B$8 * $B$9 + $D5 / $B$3 * $B$4 * ($B$8 + $B$9)</f>
        <v>77473.975237241117</v>
      </c>
      <c r="H5" s="5">
        <f t="shared" si="3"/>
        <v>324.13176820869018</v>
      </c>
      <c r="I5" s="5">
        <f t="shared" si="4"/>
        <v>2291.6786266274371</v>
      </c>
    </row>
    <row r="6" spans="1:9" x14ac:dyDescent="0.25">
      <c r="A6" s="1" t="s">
        <v>14</v>
      </c>
      <c r="B6">
        <v>6.4</v>
      </c>
      <c r="C6">
        <f t="shared" si="0"/>
        <v>0.40000000000000036</v>
      </c>
      <c r="D6">
        <f t="shared" si="2"/>
        <v>3.5999999999999996</v>
      </c>
      <c r="E6" s="5">
        <f t="shared" si="1"/>
        <v>232.56000000000003</v>
      </c>
      <c r="F6" s="3">
        <f t="shared" si="5"/>
        <v>2750341.3806866696</v>
      </c>
      <c r="G6" s="3">
        <f t="shared" si="6"/>
        <v>77434.138068667031</v>
      </c>
      <c r="H6" s="5">
        <f t="shared" si="3"/>
        <v>332.96412998222831</v>
      </c>
      <c r="I6" s="5">
        <f t="shared" si="4"/>
        <v>2229.7413664483165</v>
      </c>
    </row>
    <row r="7" spans="1:9" x14ac:dyDescent="0.25">
      <c r="A7" s="1" t="s">
        <v>18</v>
      </c>
      <c r="B7">
        <v>1</v>
      </c>
      <c r="C7">
        <f t="shared" si="0"/>
        <v>0.50000000000000044</v>
      </c>
      <c r="D7">
        <f t="shared" si="2"/>
        <v>3.4999999999999996</v>
      </c>
      <c r="E7" s="5">
        <f t="shared" si="1"/>
        <v>226.09999999999997</v>
      </c>
      <c r="F7" s="3">
        <f t="shared" si="5"/>
        <v>2673943.0090009291</v>
      </c>
      <c r="G7" s="3">
        <f t="shared" si="6"/>
        <v>77394.300900092945</v>
      </c>
      <c r="H7" s="5">
        <f t="shared" si="3"/>
        <v>342.30119814282597</v>
      </c>
      <c r="I7" s="5">
        <f t="shared" si="4"/>
        <v>2167.8041062691968</v>
      </c>
    </row>
    <row r="8" spans="1:9" x14ac:dyDescent="0.25">
      <c r="A8" s="1" t="s">
        <v>11</v>
      </c>
      <c r="B8" s="3">
        <v>400</v>
      </c>
      <c r="C8">
        <f t="shared" si="0"/>
        <v>0.60000000000000053</v>
      </c>
      <c r="D8">
        <f t="shared" si="2"/>
        <v>3.3999999999999995</v>
      </c>
      <c r="E8" s="5">
        <f t="shared" si="1"/>
        <v>219.64</v>
      </c>
      <c r="F8" s="3">
        <f t="shared" si="5"/>
        <v>2597544.6373151881</v>
      </c>
      <c r="G8" s="3">
        <f t="shared" si="6"/>
        <v>77354.463731518859</v>
      </c>
      <c r="H8" s="5">
        <f t="shared" si="3"/>
        <v>352.18750560698811</v>
      </c>
      <c r="I8" s="5">
        <f t="shared" si="4"/>
        <v>2105.8668460900767</v>
      </c>
    </row>
    <row r="9" spans="1:9" x14ac:dyDescent="0.25">
      <c r="A9" s="1" t="s">
        <v>15</v>
      </c>
      <c r="B9" s="3">
        <v>1900</v>
      </c>
      <c r="C9">
        <f t="shared" si="0"/>
        <v>0.70000000000000062</v>
      </c>
      <c r="D9">
        <f t="shared" si="2"/>
        <v>3.2999999999999994</v>
      </c>
      <c r="E9" s="5">
        <f t="shared" si="1"/>
        <v>213.17999999999998</v>
      </c>
      <c r="F9" s="3">
        <f t="shared" si="5"/>
        <v>2521146.2656294475</v>
      </c>
      <c r="G9" s="3">
        <f t="shared" si="6"/>
        <v>77314.626562944773</v>
      </c>
      <c r="H9" s="5">
        <f t="shared" si="3"/>
        <v>362.67298322049339</v>
      </c>
      <c r="I9" s="5">
        <f t="shared" si="4"/>
        <v>2043.9295859109573</v>
      </c>
    </row>
    <row r="10" spans="1:9" x14ac:dyDescent="0.25">
      <c r="C10">
        <f t="shared" si="0"/>
        <v>0.80000000000000071</v>
      </c>
      <c r="D10">
        <f t="shared" si="2"/>
        <v>3.1999999999999993</v>
      </c>
      <c r="E10" s="5">
        <f t="shared" si="1"/>
        <v>206.71999999999997</v>
      </c>
      <c r="F10" s="3">
        <f t="shared" si="5"/>
        <v>2444747.8939437065</v>
      </c>
      <c r="G10" s="3">
        <f t="shared" si="6"/>
        <v>77274.789394370688</v>
      </c>
      <c r="H10" s="5">
        <f t="shared" si="3"/>
        <v>373.81380318484275</v>
      </c>
      <c r="I10" s="5">
        <f t="shared" si="4"/>
        <v>1981.9923257318371</v>
      </c>
    </row>
    <row r="11" spans="1:9" x14ac:dyDescent="0.25">
      <c r="C11">
        <f t="shared" si="0"/>
        <v>0.9000000000000008</v>
      </c>
      <c r="D11">
        <f t="shared" si="2"/>
        <v>3.0999999999999992</v>
      </c>
      <c r="E11" s="5">
        <f t="shared" si="1"/>
        <v>200.25999999999996</v>
      </c>
      <c r="F11" s="3">
        <f t="shared" si="5"/>
        <v>2368349.5222579655</v>
      </c>
      <c r="G11" s="3">
        <f t="shared" si="6"/>
        <v>77234.952225796616</v>
      </c>
      <c r="H11" s="5">
        <f t="shared" si="3"/>
        <v>385.67338572753738</v>
      </c>
      <c r="I11" s="5">
        <f t="shared" si="4"/>
        <v>1920.055065552717</v>
      </c>
    </row>
    <row r="12" spans="1:9" x14ac:dyDescent="0.25">
      <c r="A12" s="1" t="s">
        <v>29</v>
      </c>
      <c r="B12">
        <v>4</v>
      </c>
      <c r="C12">
        <f t="shared" si="0"/>
        <v>1.0000000000000009</v>
      </c>
      <c r="D12">
        <f t="shared" si="2"/>
        <v>2.9999999999999991</v>
      </c>
      <c r="E12" s="5">
        <f t="shared" si="1"/>
        <v>193.79999999999995</v>
      </c>
      <c r="F12" s="3">
        <f t="shared" si="5"/>
        <v>2291951.1505722245</v>
      </c>
      <c r="G12" s="3">
        <f t="shared" si="6"/>
        <v>77195.115057222531</v>
      </c>
      <c r="H12" s="5">
        <f t="shared" si="3"/>
        <v>398.32360710641149</v>
      </c>
      <c r="I12" s="5">
        <f t="shared" si="4"/>
        <v>1858.1178053735971</v>
      </c>
    </row>
    <row r="13" spans="1:9" x14ac:dyDescent="0.25">
      <c r="A13" s="1" t="s">
        <v>24</v>
      </c>
      <c r="B13">
        <f xml:space="preserve"> 8.5 * POWER(10,-5)</f>
        <v>8.5000000000000006E-5</v>
      </c>
      <c r="C13">
        <f t="shared" si="0"/>
        <v>1.100000000000001</v>
      </c>
      <c r="D13">
        <f t="shared" si="2"/>
        <v>2.899999999999999</v>
      </c>
      <c r="E13" s="5">
        <f t="shared" si="1"/>
        <v>187.33999999999995</v>
      </c>
      <c r="F13" s="3">
        <f t="shared" si="5"/>
        <v>2215552.7788864835</v>
      </c>
      <c r="G13" s="3">
        <f t="shared" si="6"/>
        <v>77155.277888648445</v>
      </c>
      <c r="H13" s="5">
        <f t="shared" si="3"/>
        <v>411.84625754589763</v>
      </c>
      <c r="I13" s="5">
        <f t="shared" si="4"/>
        <v>1796.180545194477</v>
      </c>
    </row>
    <row r="14" spans="1:9" x14ac:dyDescent="0.25">
      <c r="A14" s="1" t="s">
        <v>3</v>
      </c>
      <c r="B14" s="6">
        <f xml:space="preserve"> I2</f>
        <v>2477.490407164797</v>
      </c>
      <c r="C14">
        <f t="shared" si="0"/>
        <v>1.2000000000000011</v>
      </c>
      <c r="D14">
        <f t="shared" si="2"/>
        <v>2.7999999999999989</v>
      </c>
      <c r="E14" s="5">
        <f t="shared" si="1"/>
        <v>180.87999999999997</v>
      </c>
      <c r="F14" s="3">
        <f t="shared" si="5"/>
        <v>2139154.4072007425</v>
      </c>
      <c r="G14" s="3">
        <f t="shared" si="6"/>
        <v>77115.440720074359</v>
      </c>
      <c r="H14" s="5">
        <f t="shared" si="3"/>
        <v>426.33481158820416</v>
      </c>
      <c r="I14" s="5">
        <f t="shared" si="4"/>
        <v>1734.2432850153568</v>
      </c>
    </row>
    <row r="15" spans="1:9" x14ac:dyDescent="0.25">
      <c r="A15" s="1" t="s">
        <v>5</v>
      </c>
      <c r="B15" s="6">
        <f xml:space="preserve"> 900000 /365/2</f>
        <v>1232.8767123287671</v>
      </c>
      <c r="C15">
        <f t="shared" si="0"/>
        <v>1.3000000000000012</v>
      </c>
      <c r="D15">
        <f t="shared" si="2"/>
        <v>2.6999999999999988</v>
      </c>
      <c r="E15" s="5">
        <f t="shared" si="1"/>
        <v>174.41999999999993</v>
      </c>
      <c r="F15" s="3">
        <f t="shared" si="5"/>
        <v>2062756.0355150017</v>
      </c>
      <c r="G15" s="3">
        <f t="shared" si="6"/>
        <v>77075.603551500273</v>
      </c>
      <c r="H15" s="5">
        <f t="shared" si="3"/>
        <v>441.89659185586692</v>
      </c>
      <c r="I15" s="5">
        <f t="shared" si="4"/>
        <v>1672.3060248362372</v>
      </c>
    </row>
    <row r="16" spans="1:9" x14ac:dyDescent="0.25">
      <c r="A16" s="1" t="s">
        <v>4</v>
      </c>
      <c r="B16" s="2">
        <f xml:space="preserve"> B14 / B15</f>
        <v>2.0095199969225574</v>
      </c>
      <c r="C16">
        <f t="shared" si="0"/>
        <v>1.4000000000000012</v>
      </c>
      <c r="D16">
        <f t="shared" si="2"/>
        <v>2.5999999999999988</v>
      </c>
      <c r="E16" s="5">
        <f t="shared" si="1"/>
        <v>167.95999999999992</v>
      </c>
      <c r="F16" s="3">
        <f t="shared" si="5"/>
        <v>1986357.663829261</v>
      </c>
      <c r="G16" s="3">
        <f t="shared" si="6"/>
        <v>77035.766382926187</v>
      </c>
      <c r="H16" s="5">
        <f t="shared" si="3"/>
        <v>458.65543214411895</v>
      </c>
      <c r="I16" s="5">
        <f t="shared" si="4"/>
        <v>1610.3687646571173</v>
      </c>
    </row>
    <row r="17" spans="1:9" x14ac:dyDescent="0.25">
      <c r="C17">
        <f t="shared" si="0"/>
        <v>1.5000000000000013</v>
      </c>
      <c r="D17">
        <f t="shared" si="2"/>
        <v>2.4999999999999987</v>
      </c>
      <c r="E17" s="5">
        <f t="shared" si="1"/>
        <v>161.49999999999994</v>
      </c>
      <c r="F17" s="3">
        <f t="shared" si="5"/>
        <v>1909959.29214352</v>
      </c>
      <c r="G17" s="3">
        <f t="shared" si="6"/>
        <v>76995.929214352102</v>
      </c>
      <c r="H17" s="5">
        <f t="shared" si="3"/>
        <v>476.75497965543116</v>
      </c>
      <c r="I17" s="5">
        <f t="shared" si="4"/>
        <v>1548.4315044779971</v>
      </c>
    </row>
    <row r="18" spans="1:9" x14ac:dyDescent="0.25">
      <c r="A18" s="1" t="s">
        <v>23</v>
      </c>
      <c r="B18" s="5">
        <f xml:space="preserve"> SUM(H2:H41)/60/60</f>
        <v>14.050686175702221</v>
      </c>
      <c r="C18">
        <f t="shared" si="0"/>
        <v>1.6000000000000014</v>
      </c>
      <c r="D18">
        <f t="shared" si="2"/>
        <v>2.3999999999999986</v>
      </c>
      <c r="E18" s="5">
        <f t="shared" si="1"/>
        <v>155.03999999999991</v>
      </c>
      <c r="F18" s="3">
        <f t="shared" si="5"/>
        <v>1833560.920457779</v>
      </c>
      <c r="G18" s="3">
        <f t="shared" si="6"/>
        <v>76956.092045778016</v>
      </c>
      <c r="H18" s="5">
        <f t="shared" si="3"/>
        <v>496.36282279268613</v>
      </c>
      <c r="I18" s="5">
        <f t="shared" si="4"/>
        <v>1486.4942442988772</v>
      </c>
    </row>
    <row r="19" spans="1:9" x14ac:dyDescent="0.25">
      <c r="C19">
        <f t="shared" si="0"/>
        <v>1.7000000000000015</v>
      </c>
      <c r="D19">
        <f t="shared" si="2"/>
        <v>2.2999999999999985</v>
      </c>
      <c r="E19" s="5">
        <f t="shared" si="1"/>
        <v>148.5799999999999</v>
      </c>
      <c r="F19" s="3">
        <f t="shared" si="5"/>
        <v>1757162.5487720382</v>
      </c>
      <c r="G19" s="3">
        <f t="shared" si="6"/>
        <v>76916.25487720393</v>
      </c>
      <c r="H19" s="5">
        <f t="shared" si="3"/>
        <v>517.67569576796325</v>
      </c>
      <c r="I19" s="5">
        <f t="shared" si="4"/>
        <v>1424.5569841197573</v>
      </c>
    </row>
    <row r="20" spans="1:9" x14ac:dyDescent="0.25">
      <c r="C20">
        <f t="shared" si="0"/>
        <v>1.8000000000000016</v>
      </c>
      <c r="D20">
        <f t="shared" si="2"/>
        <v>2.1999999999999984</v>
      </c>
      <c r="E20" s="5">
        <f t="shared" si="1"/>
        <v>142.11999999999989</v>
      </c>
      <c r="F20" s="3">
        <f t="shared" si="5"/>
        <v>1680764.1770862972</v>
      </c>
      <c r="G20" s="3">
        <f t="shared" si="6"/>
        <v>76876.417708629859</v>
      </c>
      <c r="H20" s="5">
        <f t="shared" si="3"/>
        <v>540.92610265008386</v>
      </c>
      <c r="I20" s="5">
        <f t="shared" si="4"/>
        <v>1362.6197239406372</v>
      </c>
    </row>
    <row r="21" spans="1:9" x14ac:dyDescent="0.25">
      <c r="C21">
        <f t="shared" si="0"/>
        <v>1.9000000000000017</v>
      </c>
      <c r="D21">
        <f t="shared" si="2"/>
        <v>2.0999999999999983</v>
      </c>
      <c r="E21" s="5">
        <f t="shared" si="1"/>
        <v>135.65999999999991</v>
      </c>
      <c r="F21" s="3">
        <f t="shared" si="5"/>
        <v>1604365.8054005562</v>
      </c>
      <c r="G21" s="3">
        <f t="shared" si="6"/>
        <v>76836.580540055773</v>
      </c>
      <c r="H21" s="5">
        <f t="shared" si="3"/>
        <v>566.3908339971681</v>
      </c>
      <c r="I21" s="5">
        <f t="shared" si="4"/>
        <v>1300.6824637615171</v>
      </c>
    </row>
    <row r="22" spans="1:9" x14ac:dyDescent="0.25">
      <c r="C22">
        <f t="shared" si="0"/>
        <v>2.0000000000000018</v>
      </c>
      <c r="D22">
        <f t="shared" si="2"/>
        <v>1.9999999999999982</v>
      </c>
      <c r="E22" s="5">
        <f t="shared" si="1"/>
        <v>129.19999999999987</v>
      </c>
      <c r="F22" s="3">
        <f t="shared" si="5"/>
        <v>1527967.4337148154</v>
      </c>
      <c r="G22" s="3">
        <f t="shared" si="6"/>
        <v>76796.743371481687</v>
      </c>
      <c r="H22" s="5">
        <f t="shared" si="3"/>
        <v>594.402038478961</v>
      </c>
      <c r="I22" s="5">
        <f t="shared" si="4"/>
        <v>1238.7452035823974</v>
      </c>
    </row>
    <row r="23" spans="1:9" x14ac:dyDescent="0.25">
      <c r="C23">
        <f t="shared" si="0"/>
        <v>2.1000000000000019</v>
      </c>
      <c r="D23">
        <f t="shared" si="2"/>
        <v>1.8999999999999981</v>
      </c>
      <c r="E23" s="5">
        <f t="shared" si="1"/>
        <v>122.73999999999991</v>
      </c>
      <c r="F23" s="3">
        <f t="shared" si="5"/>
        <v>1451569.0620290746</v>
      </c>
      <c r="G23" s="3">
        <f t="shared" si="6"/>
        <v>76756.906202907601</v>
      </c>
      <c r="H23" s="5">
        <f t="shared" si="3"/>
        <v>625.36179080094234</v>
      </c>
      <c r="I23" s="5">
        <f t="shared" si="4"/>
        <v>1176.8079434032775</v>
      </c>
    </row>
    <row r="24" spans="1:9" x14ac:dyDescent="0.25">
      <c r="C24">
        <f t="shared" si="0"/>
        <v>2.200000000000002</v>
      </c>
      <c r="D24">
        <f t="shared" si="2"/>
        <v>1.799999999999998</v>
      </c>
      <c r="E24" s="5">
        <f t="shared" si="1"/>
        <v>116.27999999999987</v>
      </c>
      <c r="F24" s="3">
        <f t="shared" si="5"/>
        <v>1375170.6903433336</v>
      </c>
      <c r="G24" s="3">
        <f t="shared" si="6"/>
        <v>76717.069034333515</v>
      </c>
      <c r="H24" s="5">
        <f t="shared" si="3"/>
        <v>659.76151560314418</v>
      </c>
      <c r="I24" s="5">
        <f t="shared" si="4"/>
        <v>1114.8706832241573</v>
      </c>
    </row>
    <row r="25" spans="1:9" x14ac:dyDescent="0.25">
      <c r="C25">
        <f t="shared" si="0"/>
        <v>2.300000000000002</v>
      </c>
      <c r="D25">
        <f t="shared" si="2"/>
        <v>1.699999999999998</v>
      </c>
      <c r="E25" s="5">
        <f t="shared" si="1"/>
        <v>109.81999999999987</v>
      </c>
      <c r="F25" s="3">
        <f t="shared" si="5"/>
        <v>1298772.3186575929</v>
      </c>
      <c r="G25" s="3">
        <f t="shared" si="6"/>
        <v>76677.23186575943</v>
      </c>
      <c r="H25" s="5">
        <f t="shared" si="3"/>
        <v>698.20826685266366</v>
      </c>
      <c r="I25" s="5">
        <f t="shared" si="4"/>
        <v>1052.9334230450374</v>
      </c>
    </row>
    <row r="26" spans="1:9" x14ac:dyDescent="0.25">
      <c r="C26">
        <f t="shared" si="0"/>
        <v>2.4000000000000021</v>
      </c>
      <c r="D26">
        <f t="shared" si="2"/>
        <v>1.5999999999999979</v>
      </c>
      <c r="E26" s="5">
        <f t="shared" si="1"/>
        <v>103.35999999999987</v>
      </c>
      <c r="F26" s="3">
        <f t="shared" si="5"/>
        <v>1222373.9469718519</v>
      </c>
      <c r="G26" s="3">
        <f t="shared" si="6"/>
        <v>76637.394697185344</v>
      </c>
      <c r="H26" s="5">
        <f t="shared" si="3"/>
        <v>741.46086200837306</v>
      </c>
      <c r="I26" s="5">
        <f t="shared" si="4"/>
        <v>990.99616286591743</v>
      </c>
    </row>
    <row r="27" spans="1:9" x14ac:dyDescent="0.25">
      <c r="C27">
        <f t="shared" si="0"/>
        <v>2.5000000000000022</v>
      </c>
      <c r="D27">
        <f t="shared" si="2"/>
        <v>1.4999999999999978</v>
      </c>
      <c r="E27" s="5">
        <f t="shared" si="1"/>
        <v>96.899999999999864</v>
      </c>
      <c r="F27" s="3">
        <f t="shared" si="5"/>
        <v>1145975.5752861111</v>
      </c>
      <c r="G27" s="3">
        <f t="shared" si="6"/>
        <v>76597.557528611258</v>
      </c>
      <c r="H27" s="5">
        <f t="shared" si="3"/>
        <v>790.48046985151052</v>
      </c>
      <c r="I27" s="5">
        <f t="shared" si="4"/>
        <v>929.05890268679752</v>
      </c>
    </row>
    <row r="28" spans="1:9" x14ac:dyDescent="0.25">
      <c r="C28">
        <f t="shared" si="0"/>
        <v>2.6000000000000023</v>
      </c>
      <c r="D28">
        <f t="shared" si="2"/>
        <v>1.3999999999999977</v>
      </c>
      <c r="E28" s="5">
        <f t="shared" si="1"/>
        <v>90.439999999999856</v>
      </c>
      <c r="F28" s="3">
        <f t="shared" si="5"/>
        <v>1069577.2036003701</v>
      </c>
      <c r="G28" s="3">
        <f t="shared" si="6"/>
        <v>76557.720360037172</v>
      </c>
      <c r="H28" s="5">
        <f t="shared" si="3"/>
        <v>846.5028788150961</v>
      </c>
      <c r="I28" s="5">
        <f t="shared" si="4"/>
        <v>867.12164250767751</v>
      </c>
    </row>
    <row r="29" spans="1:9" x14ac:dyDescent="0.25">
      <c r="C29">
        <f t="shared" si="0"/>
        <v>2.7000000000000024</v>
      </c>
      <c r="D29">
        <f t="shared" si="2"/>
        <v>1.2999999999999976</v>
      </c>
      <c r="E29" s="5">
        <f t="shared" si="1"/>
        <v>83.979999999999848</v>
      </c>
      <c r="F29" s="3">
        <f t="shared" si="5"/>
        <v>993178.83191462921</v>
      </c>
      <c r="G29" s="3">
        <f t="shared" si="6"/>
        <v>76517.883191463086</v>
      </c>
      <c r="H29" s="5">
        <f t="shared" si="3"/>
        <v>911.14411992692578</v>
      </c>
      <c r="I29" s="5">
        <f t="shared" si="4"/>
        <v>805.1843823285576</v>
      </c>
    </row>
    <row r="30" spans="1:9" x14ac:dyDescent="0.25">
      <c r="C30">
        <f t="shared" si="0"/>
        <v>2.8000000000000025</v>
      </c>
      <c r="D30">
        <f t="shared" si="2"/>
        <v>1.1999999999999975</v>
      </c>
      <c r="E30" s="5">
        <f t="shared" si="1"/>
        <v>77.519999999999854</v>
      </c>
      <c r="F30" s="3">
        <f t="shared" si="5"/>
        <v>916780.46022888809</v>
      </c>
      <c r="G30" s="3">
        <f t="shared" si="6"/>
        <v>76478.046022889015</v>
      </c>
      <c r="H30" s="5">
        <f t="shared" si="3"/>
        <v>986.55890122406038</v>
      </c>
      <c r="I30" s="5">
        <f t="shared" si="4"/>
        <v>743.24712214943747</v>
      </c>
    </row>
    <row r="31" spans="1:9" x14ac:dyDescent="0.25">
      <c r="C31">
        <f t="shared" si="0"/>
        <v>2.9000000000000026</v>
      </c>
      <c r="D31">
        <f t="shared" si="2"/>
        <v>1.0999999999999974</v>
      </c>
      <c r="E31" s="5">
        <f t="shared" si="1"/>
        <v>71.059999999999846</v>
      </c>
      <c r="F31" s="3">
        <f t="shared" si="5"/>
        <v>840382.08854314731</v>
      </c>
      <c r="G31" s="3">
        <f t="shared" si="6"/>
        <v>76438.208854314929</v>
      </c>
      <c r="H31" s="5">
        <f t="shared" si="3"/>
        <v>1075.6854609388558</v>
      </c>
      <c r="I31" s="5">
        <f t="shared" si="4"/>
        <v>681.30986197031757</v>
      </c>
    </row>
    <row r="32" spans="1:9" x14ac:dyDescent="0.25">
      <c r="C32">
        <f t="shared" si="0"/>
        <v>3.0000000000000027</v>
      </c>
      <c r="D32">
        <f t="shared" si="2"/>
        <v>0.99999999999999745</v>
      </c>
      <c r="E32" s="5">
        <f t="shared" si="1"/>
        <v>64.599999999999852</v>
      </c>
      <c r="F32" s="3">
        <f t="shared" si="5"/>
        <v>763983.71685740643</v>
      </c>
      <c r="G32" s="3">
        <f t="shared" si="6"/>
        <v>76398.371685740844</v>
      </c>
      <c r="H32" s="5">
        <f t="shared" si="3"/>
        <v>1182.6373325966101</v>
      </c>
      <c r="I32" s="5">
        <f t="shared" si="4"/>
        <v>619.37260179119755</v>
      </c>
    </row>
    <row r="33" spans="3:9" x14ac:dyDescent="0.25">
      <c r="C33">
        <f t="shared" si="0"/>
        <v>3.1000000000000023</v>
      </c>
      <c r="D33">
        <f t="shared" si="2"/>
        <v>0.89999999999999747</v>
      </c>
      <c r="E33" s="5">
        <f t="shared" si="1"/>
        <v>58.139999999999837</v>
      </c>
      <c r="F33" s="3">
        <f t="shared" si="5"/>
        <v>687585.34517166554</v>
      </c>
      <c r="G33" s="3">
        <f t="shared" si="6"/>
        <v>76358.534517166758</v>
      </c>
      <c r="H33" s="5">
        <f t="shared" si="3"/>
        <v>1313.3562868449771</v>
      </c>
      <c r="I33" s="5">
        <f t="shared" si="4"/>
        <v>557.43534161207765</v>
      </c>
    </row>
    <row r="34" spans="3:9" x14ac:dyDescent="0.25">
      <c r="C34">
        <f t="shared" si="0"/>
        <v>3.2000000000000024</v>
      </c>
      <c r="D34">
        <f t="shared" si="2"/>
        <v>0.79999999999999749</v>
      </c>
      <c r="E34" s="5">
        <f t="shared" si="1"/>
        <v>51.679999999999843</v>
      </c>
      <c r="F34" s="3">
        <f t="shared" si="5"/>
        <v>611186.97348592477</v>
      </c>
      <c r="G34" s="3">
        <f t="shared" si="6"/>
        <v>76318.697348592672</v>
      </c>
      <c r="H34" s="5">
        <f t="shared" si="3"/>
        <v>1476.7549796554354</v>
      </c>
      <c r="I34" s="5">
        <f t="shared" si="4"/>
        <v>495.4980814329578</v>
      </c>
    </row>
    <row r="35" spans="3:9" x14ac:dyDescent="0.25">
      <c r="C35">
        <f t="shared" si="0"/>
        <v>3.3000000000000025</v>
      </c>
      <c r="D35">
        <f t="shared" si="2"/>
        <v>0.69999999999999751</v>
      </c>
      <c r="E35" s="5">
        <f t="shared" si="1"/>
        <v>45.219999999999843</v>
      </c>
      <c r="F35" s="3">
        <f t="shared" si="5"/>
        <v>534788.60180018388</v>
      </c>
      <c r="G35" s="3">
        <f t="shared" si="6"/>
        <v>76278.860180018586</v>
      </c>
      <c r="H35" s="5">
        <f t="shared" si="3"/>
        <v>1686.8390132688821</v>
      </c>
      <c r="I35" s="5">
        <f t="shared" si="4"/>
        <v>433.56082125383784</v>
      </c>
    </row>
    <row r="36" spans="3:9" x14ac:dyDescent="0.25">
      <c r="C36">
        <f t="shared" si="0"/>
        <v>3.4000000000000026</v>
      </c>
      <c r="D36">
        <f t="shared" si="2"/>
        <v>0.59999999999999754</v>
      </c>
      <c r="E36" s="5">
        <f t="shared" si="1"/>
        <v>38.759999999999842</v>
      </c>
      <c r="F36" s="3">
        <f t="shared" si="5"/>
        <v>458390.23011444317</v>
      </c>
      <c r="G36" s="3">
        <f t="shared" si="6"/>
        <v>76239.0230114445</v>
      </c>
      <c r="H36" s="5">
        <f t="shared" si="3"/>
        <v>1966.9510580868114</v>
      </c>
      <c r="I36" s="5">
        <f t="shared" si="4"/>
        <v>371.623561074718</v>
      </c>
    </row>
    <row r="37" spans="3:9" x14ac:dyDescent="0.25">
      <c r="C37">
        <f t="shared" si="0"/>
        <v>3.5000000000000027</v>
      </c>
      <c r="D37">
        <f t="shared" si="2"/>
        <v>0.49999999999999756</v>
      </c>
      <c r="E37" s="5">
        <f t="shared" si="1"/>
        <v>32.299999999999841</v>
      </c>
      <c r="F37" s="3">
        <f t="shared" si="5"/>
        <v>381991.85842870234</v>
      </c>
      <c r="G37" s="3">
        <f t="shared" si="6"/>
        <v>76199.185842870414</v>
      </c>
      <c r="H37" s="5">
        <f t="shared" si="3"/>
        <v>2359.1079208319129</v>
      </c>
      <c r="I37" s="5">
        <f t="shared" si="4"/>
        <v>309.68630089559809</v>
      </c>
    </row>
    <row r="38" spans="3:9" x14ac:dyDescent="0.25">
      <c r="C38">
        <f t="shared" si="0"/>
        <v>3.6000000000000023</v>
      </c>
      <c r="D38">
        <f t="shared" si="2"/>
        <v>0.39999999999999758</v>
      </c>
      <c r="E38" s="5">
        <f t="shared" si="1"/>
        <v>25.839999999999844</v>
      </c>
      <c r="F38" s="3">
        <f t="shared" si="5"/>
        <v>305593.48674296151</v>
      </c>
      <c r="G38" s="3">
        <f t="shared" si="6"/>
        <v>76159.348674296329</v>
      </c>
      <c r="H38" s="5">
        <f t="shared" si="3"/>
        <v>2947.3432149495661</v>
      </c>
      <c r="I38" s="5">
        <f t="shared" si="4"/>
        <v>247.74904071647819</v>
      </c>
    </row>
    <row r="39" spans="3:9" x14ac:dyDescent="0.25">
      <c r="C39">
        <f t="shared" si="0"/>
        <v>3.7000000000000024</v>
      </c>
      <c r="D39">
        <f t="shared" si="2"/>
        <v>0.2999999999999976</v>
      </c>
      <c r="E39" s="5">
        <f t="shared" si="1"/>
        <v>19.379999999999846</v>
      </c>
      <c r="F39" s="3">
        <f t="shared" si="5"/>
        <v>229195.11505722068</v>
      </c>
      <c r="G39" s="3">
        <f t="shared" si="6"/>
        <v>76119.511505722257</v>
      </c>
      <c r="H39" s="5">
        <f t="shared" si="3"/>
        <v>3927.735371812325</v>
      </c>
      <c r="I39" s="5">
        <f t="shared" si="4"/>
        <v>185.81178053735826</v>
      </c>
    </row>
    <row r="40" spans="3:9" x14ac:dyDescent="0.25">
      <c r="C40">
        <f t="shared" si="0"/>
        <v>3.8000000000000025</v>
      </c>
      <c r="D40">
        <f t="shared" si="2"/>
        <v>0.1999999999999976</v>
      </c>
      <c r="E40" s="5">
        <f t="shared" si="1"/>
        <v>12.919999999999845</v>
      </c>
      <c r="F40" s="3">
        <f t="shared" si="5"/>
        <v>152796.74337147985</v>
      </c>
      <c r="G40" s="3">
        <f t="shared" si="6"/>
        <v>76079.674337148172</v>
      </c>
      <c r="H40" s="5">
        <f t="shared" si="3"/>
        <v>5888.5196855378545</v>
      </c>
      <c r="I40" s="5">
        <f t="shared" si="4"/>
        <v>123.87452035823836</v>
      </c>
    </row>
    <row r="41" spans="3:9" x14ac:dyDescent="0.25">
      <c r="C41">
        <f t="shared" si="0"/>
        <v>3.9000000000000026</v>
      </c>
      <c r="D41">
        <f t="shared" si="2"/>
        <v>9.9999999999997591E-2</v>
      </c>
      <c r="E41" s="5">
        <f t="shared" si="1"/>
        <v>6.4599999999998454</v>
      </c>
      <c r="F41" s="3">
        <f t="shared" si="5"/>
        <v>76398.371685738995</v>
      </c>
      <c r="G41" s="3">
        <f t="shared" si="6"/>
        <v>76039.837168574086</v>
      </c>
      <c r="H41" s="5">
        <f t="shared" si="3"/>
        <v>11770.872626714536</v>
      </c>
      <c r="I41" s="5">
        <f t="shared" si="4"/>
        <v>61.937260179118425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B13" sqref="B13"/>
    </sheetView>
  </sheetViews>
  <sheetFormatPr defaultRowHeight="15" x14ac:dyDescent="0.25"/>
  <cols>
    <col min="1" max="1" width="58.42578125" customWidth="1"/>
    <col min="2" max="2" width="11.42578125" customWidth="1"/>
    <col min="3" max="3" width="15" customWidth="1"/>
    <col min="4" max="4" width="8.42578125" customWidth="1"/>
    <col min="7" max="7" width="10.42578125" customWidth="1"/>
    <col min="8" max="8" width="9.7109375" customWidth="1"/>
  </cols>
  <sheetData>
    <row r="1" spans="1:9" ht="75" x14ac:dyDescent="0.25">
      <c r="B1" s="1" t="s">
        <v>17</v>
      </c>
      <c r="C1" s="1" t="s">
        <v>2</v>
      </c>
      <c r="D1" s="1" t="s">
        <v>16</v>
      </c>
      <c r="E1" s="1" t="s">
        <v>0</v>
      </c>
      <c r="F1" s="1" t="s">
        <v>19</v>
      </c>
      <c r="G1" s="1" t="s">
        <v>21</v>
      </c>
      <c r="H1" s="1" t="s">
        <v>22</v>
      </c>
      <c r="I1" s="1" t="s">
        <v>25</v>
      </c>
    </row>
    <row r="2" spans="1:9" x14ac:dyDescent="0.25">
      <c r="A2" s="1" t="s">
        <v>12</v>
      </c>
      <c r="B2">
        <v>30</v>
      </c>
      <c r="C2">
        <f t="shared" ref="C2:C41" si="0" xml:space="preserve"> B$5 - D2</f>
        <v>0</v>
      </c>
      <c r="D2">
        <v>4</v>
      </c>
      <c r="E2" s="5"/>
      <c r="F2" s="3"/>
      <c r="G2" s="3"/>
      <c r="H2" s="5"/>
      <c r="I2" s="5"/>
    </row>
    <row r="3" spans="1:9" x14ac:dyDescent="0.25">
      <c r="A3" s="1" t="s">
        <v>13</v>
      </c>
      <c r="B3">
        <f xml:space="preserve"> TAN(PI()/180 * $B$2)</f>
        <v>0.57735026918962573</v>
      </c>
      <c r="C3">
        <f t="shared" si="0"/>
        <v>0.10000000000000009</v>
      </c>
      <c r="D3">
        <f t="shared" ref="D3:D41" si="1" xml:space="preserve"> D2 - B$4</f>
        <v>3.9</v>
      </c>
      <c r="E3" s="5"/>
      <c r="F3" s="3"/>
      <c r="G3" s="3"/>
      <c r="H3" s="5"/>
      <c r="I3" s="5"/>
    </row>
    <row r="4" spans="1:9" x14ac:dyDescent="0.25">
      <c r="A4" s="1" t="s">
        <v>20</v>
      </c>
      <c r="B4">
        <v>0.1</v>
      </c>
      <c r="C4">
        <f t="shared" si="0"/>
        <v>0.20000000000000018</v>
      </c>
      <c r="D4">
        <f t="shared" si="1"/>
        <v>3.8</v>
      </c>
      <c r="E4" s="5"/>
      <c r="F4" s="3"/>
      <c r="G4" s="3"/>
      <c r="H4" s="5"/>
      <c r="I4" s="5"/>
    </row>
    <row r="5" spans="1:9" x14ac:dyDescent="0.25">
      <c r="A5" s="1" t="s">
        <v>1</v>
      </c>
      <c r="B5">
        <v>4</v>
      </c>
      <c r="C5">
        <f t="shared" si="0"/>
        <v>0.30000000000000027</v>
      </c>
      <c r="D5">
        <f t="shared" si="1"/>
        <v>3.6999999999999997</v>
      </c>
      <c r="E5" s="5"/>
      <c r="F5" s="3"/>
      <c r="G5" s="3"/>
      <c r="H5" s="5"/>
      <c r="I5" s="5"/>
    </row>
    <row r="6" spans="1:9" x14ac:dyDescent="0.25">
      <c r="A6" s="1" t="s">
        <v>14</v>
      </c>
      <c r="B6">
        <v>6.4</v>
      </c>
      <c r="C6">
        <f t="shared" si="0"/>
        <v>0.40000000000000036</v>
      </c>
      <c r="D6">
        <f t="shared" si="1"/>
        <v>3.5999999999999996</v>
      </c>
      <c r="E6" s="5"/>
      <c r="F6" s="3"/>
      <c r="G6" s="3"/>
      <c r="H6" s="5"/>
      <c r="I6" s="5"/>
    </row>
    <row r="7" spans="1:9" x14ac:dyDescent="0.25">
      <c r="A7" s="1" t="s">
        <v>18</v>
      </c>
      <c r="B7">
        <v>1</v>
      </c>
      <c r="C7">
        <f t="shared" si="0"/>
        <v>0.50000000000000044</v>
      </c>
      <c r="D7">
        <f t="shared" si="1"/>
        <v>3.4999999999999996</v>
      </c>
      <c r="E7" s="5">
        <f t="shared" ref="E7:E41" si="2" xml:space="preserve"> B$13 * D7 / B$7 * B$8 * B$9</f>
        <v>226.09999999999997</v>
      </c>
      <c r="F7" s="3">
        <f t="shared" ref="F7:F41" si="3" xml:space="preserve"> $D7 * $B$8 * $B$9 + $D7 / $B$3 * ($B$8 + $B$9)</f>
        <v>2673943.0090009291</v>
      </c>
      <c r="G7" s="3">
        <f t="shared" ref="G7:G41" si="4" xml:space="preserve">  $B$4 * $B$8 * $B$9 + $D7 / $B$3 * $B$4 * ($B$8 + $B$9)</f>
        <v>77394.300900092945</v>
      </c>
      <c r="H7" s="5">
        <f t="shared" ref="H7:H41" si="5" xml:space="preserve"> G7 / E7</f>
        <v>342.30119814282597</v>
      </c>
      <c r="I7" s="5">
        <f t="shared" ref="I7:I41" si="6" xml:space="preserve"> F7 /  1233.48</f>
        <v>2167.8041062691968</v>
      </c>
    </row>
    <row r="8" spans="1:9" x14ac:dyDescent="0.25">
      <c r="A8" s="1" t="s">
        <v>11</v>
      </c>
      <c r="B8" s="3">
        <v>400</v>
      </c>
      <c r="C8">
        <f t="shared" si="0"/>
        <v>0.60000000000000053</v>
      </c>
      <c r="D8">
        <f t="shared" si="1"/>
        <v>3.3999999999999995</v>
      </c>
      <c r="E8" s="5">
        <f t="shared" si="2"/>
        <v>219.64</v>
      </c>
      <c r="F8" s="3">
        <f t="shared" si="3"/>
        <v>2597544.6373151881</v>
      </c>
      <c r="G8" s="3">
        <f t="shared" si="4"/>
        <v>77354.463731518859</v>
      </c>
      <c r="H8" s="5">
        <f t="shared" si="5"/>
        <v>352.18750560698811</v>
      </c>
      <c r="I8" s="5">
        <f t="shared" si="6"/>
        <v>2105.8668460900767</v>
      </c>
    </row>
    <row r="9" spans="1:9" x14ac:dyDescent="0.25">
      <c r="A9" s="1" t="s">
        <v>15</v>
      </c>
      <c r="B9" s="3">
        <v>1900</v>
      </c>
      <c r="C9">
        <f t="shared" si="0"/>
        <v>0.70000000000000062</v>
      </c>
      <c r="D9">
        <f t="shared" si="1"/>
        <v>3.2999999999999994</v>
      </c>
      <c r="E9" s="5">
        <f t="shared" si="2"/>
        <v>213.17999999999998</v>
      </c>
      <c r="F9" s="3">
        <f t="shared" si="3"/>
        <v>2521146.2656294475</v>
      </c>
      <c r="G9" s="3">
        <f t="shared" si="4"/>
        <v>77314.626562944773</v>
      </c>
      <c r="H9" s="5">
        <f t="shared" si="5"/>
        <v>362.67298322049339</v>
      </c>
      <c r="I9" s="5">
        <f t="shared" si="6"/>
        <v>2043.9295859109573</v>
      </c>
    </row>
    <row r="10" spans="1:9" x14ac:dyDescent="0.25">
      <c r="C10">
        <f t="shared" si="0"/>
        <v>0.80000000000000071</v>
      </c>
      <c r="D10">
        <f t="shared" si="1"/>
        <v>3.1999999999999993</v>
      </c>
      <c r="E10" s="5">
        <f t="shared" si="2"/>
        <v>206.71999999999997</v>
      </c>
      <c r="F10" s="3">
        <f t="shared" si="3"/>
        <v>2444747.8939437065</v>
      </c>
      <c r="G10" s="3">
        <f t="shared" si="4"/>
        <v>77274.789394370688</v>
      </c>
      <c r="H10" s="5">
        <f t="shared" si="5"/>
        <v>373.81380318484275</v>
      </c>
      <c r="I10" s="5">
        <f t="shared" si="6"/>
        <v>1981.9923257318371</v>
      </c>
    </row>
    <row r="11" spans="1:9" x14ac:dyDescent="0.25">
      <c r="C11">
        <f t="shared" si="0"/>
        <v>0.9000000000000008</v>
      </c>
      <c r="D11">
        <f t="shared" si="1"/>
        <v>3.0999999999999992</v>
      </c>
      <c r="E11" s="5">
        <f t="shared" si="2"/>
        <v>200.25999999999996</v>
      </c>
      <c r="F11" s="3">
        <f t="shared" si="3"/>
        <v>2368349.5222579655</v>
      </c>
      <c r="G11" s="3">
        <f t="shared" si="4"/>
        <v>77234.952225796616</v>
      </c>
      <c r="H11" s="5">
        <f t="shared" si="5"/>
        <v>385.67338572753738</v>
      </c>
      <c r="I11" s="5">
        <f t="shared" si="6"/>
        <v>1920.055065552717</v>
      </c>
    </row>
    <row r="12" spans="1:9" x14ac:dyDescent="0.25">
      <c r="A12" s="1" t="s">
        <v>27</v>
      </c>
      <c r="B12">
        <v>3.52</v>
      </c>
      <c r="C12">
        <f t="shared" si="0"/>
        <v>1.0000000000000009</v>
      </c>
      <c r="D12">
        <f t="shared" si="1"/>
        <v>2.9999999999999991</v>
      </c>
      <c r="E12" s="5">
        <f t="shared" si="2"/>
        <v>193.79999999999995</v>
      </c>
      <c r="F12" s="3">
        <f t="shared" si="3"/>
        <v>2291951.1505722245</v>
      </c>
      <c r="G12" s="3">
        <f t="shared" si="4"/>
        <v>77195.115057222531</v>
      </c>
      <c r="H12" s="5">
        <f t="shared" si="5"/>
        <v>398.32360710641149</v>
      </c>
      <c r="I12" s="5">
        <f t="shared" si="6"/>
        <v>1858.1178053735971</v>
      </c>
    </row>
    <row r="13" spans="1:9" x14ac:dyDescent="0.25">
      <c r="A13" s="1" t="s">
        <v>24</v>
      </c>
      <c r="B13">
        <f xml:space="preserve"> 8.5 * POWER(10,-5)</f>
        <v>8.5000000000000006E-5</v>
      </c>
      <c r="C13">
        <f t="shared" si="0"/>
        <v>1.100000000000001</v>
      </c>
      <c r="D13">
        <f t="shared" si="1"/>
        <v>2.899999999999999</v>
      </c>
      <c r="E13" s="5">
        <f t="shared" si="2"/>
        <v>187.33999999999995</v>
      </c>
      <c r="F13" s="3">
        <f t="shared" si="3"/>
        <v>2215552.7788864835</v>
      </c>
      <c r="G13" s="3">
        <f t="shared" si="4"/>
        <v>77155.277888648445</v>
      </c>
      <c r="H13" s="5">
        <f t="shared" si="5"/>
        <v>411.84625754589763</v>
      </c>
      <c r="I13" s="5">
        <f t="shared" si="6"/>
        <v>1796.180545194477</v>
      </c>
    </row>
    <row r="14" spans="1:9" x14ac:dyDescent="0.25">
      <c r="A14" s="1" t="s">
        <v>3</v>
      </c>
      <c r="B14" s="6">
        <f xml:space="preserve"> I7</f>
        <v>2167.8041062691968</v>
      </c>
      <c r="C14">
        <f t="shared" si="0"/>
        <v>1.2000000000000011</v>
      </c>
      <c r="D14">
        <f t="shared" si="1"/>
        <v>2.7999999999999989</v>
      </c>
      <c r="E14" s="5">
        <f t="shared" si="2"/>
        <v>180.87999999999997</v>
      </c>
      <c r="F14" s="3">
        <f t="shared" si="3"/>
        <v>2139154.4072007425</v>
      </c>
      <c r="G14" s="3">
        <f t="shared" si="4"/>
        <v>77115.440720074359</v>
      </c>
      <c r="H14" s="5">
        <f t="shared" si="5"/>
        <v>426.33481158820416</v>
      </c>
      <c r="I14" s="5">
        <f t="shared" si="6"/>
        <v>1734.2432850153568</v>
      </c>
    </row>
    <row r="15" spans="1:9" x14ac:dyDescent="0.25">
      <c r="A15" s="1" t="s">
        <v>5</v>
      </c>
      <c r="B15" s="6">
        <f xml:space="preserve"> 900000 /365/2</f>
        <v>1232.8767123287671</v>
      </c>
      <c r="C15">
        <f t="shared" si="0"/>
        <v>1.3000000000000012</v>
      </c>
      <c r="D15">
        <f t="shared" si="1"/>
        <v>2.6999999999999988</v>
      </c>
      <c r="E15" s="5">
        <f t="shared" si="2"/>
        <v>174.41999999999993</v>
      </c>
      <c r="F15" s="3">
        <f t="shared" si="3"/>
        <v>2062756.0355150017</v>
      </c>
      <c r="G15" s="3">
        <f t="shared" si="4"/>
        <v>77075.603551500273</v>
      </c>
      <c r="H15" s="5">
        <f t="shared" si="5"/>
        <v>441.89659185586692</v>
      </c>
      <c r="I15" s="5">
        <f t="shared" si="6"/>
        <v>1672.3060248362372</v>
      </c>
    </row>
    <row r="16" spans="1:9" x14ac:dyDescent="0.25">
      <c r="A16" s="1" t="s">
        <v>4</v>
      </c>
      <c r="B16" s="2">
        <f xml:space="preserve"> B14 / B15</f>
        <v>1.7583299973072375</v>
      </c>
      <c r="C16">
        <f t="shared" si="0"/>
        <v>1.4000000000000012</v>
      </c>
      <c r="D16">
        <f t="shared" si="1"/>
        <v>2.5999999999999988</v>
      </c>
      <c r="E16" s="5">
        <f t="shared" si="2"/>
        <v>167.95999999999992</v>
      </c>
      <c r="F16" s="3">
        <f t="shared" si="3"/>
        <v>1986357.663829261</v>
      </c>
      <c r="G16" s="3">
        <f t="shared" si="4"/>
        <v>77035.766382926187</v>
      </c>
      <c r="H16" s="5">
        <f t="shared" si="5"/>
        <v>458.65543214411895</v>
      </c>
      <c r="I16" s="5">
        <f t="shared" si="6"/>
        <v>1610.3687646571173</v>
      </c>
    </row>
    <row r="17" spans="1:9" x14ac:dyDescent="0.25">
      <c r="C17">
        <f t="shared" si="0"/>
        <v>1.5000000000000013</v>
      </c>
      <c r="D17">
        <f t="shared" si="1"/>
        <v>2.4999999999999987</v>
      </c>
      <c r="E17" s="5">
        <f t="shared" si="2"/>
        <v>161.49999999999994</v>
      </c>
      <c r="F17" s="3">
        <f t="shared" si="3"/>
        <v>1909959.29214352</v>
      </c>
      <c r="G17" s="3">
        <f t="shared" si="4"/>
        <v>76995.929214352102</v>
      </c>
      <c r="H17" s="5">
        <f t="shared" si="5"/>
        <v>476.75497965543116</v>
      </c>
      <c r="I17" s="5">
        <f t="shared" si="6"/>
        <v>1548.4315044779971</v>
      </c>
    </row>
    <row r="18" spans="1:9" x14ac:dyDescent="0.25">
      <c r="A18" s="1" t="s">
        <v>23</v>
      </c>
      <c r="B18" s="5">
        <f xml:space="preserve"> SUM(H2:H41)/60/60</f>
        <v>13.611527723829434</v>
      </c>
      <c r="C18">
        <f t="shared" si="0"/>
        <v>1.6000000000000014</v>
      </c>
      <c r="D18">
        <f t="shared" si="1"/>
        <v>2.3999999999999986</v>
      </c>
      <c r="E18" s="5">
        <f t="shared" si="2"/>
        <v>155.03999999999991</v>
      </c>
      <c r="F18" s="3">
        <f t="shared" si="3"/>
        <v>1833560.920457779</v>
      </c>
      <c r="G18" s="3">
        <f t="shared" si="4"/>
        <v>76956.092045778016</v>
      </c>
      <c r="H18" s="5">
        <f t="shared" si="5"/>
        <v>496.36282279268613</v>
      </c>
      <c r="I18" s="5">
        <f t="shared" si="6"/>
        <v>1486.4942442988772</v>
      </c>
    </row>
    <row r="19" spans="1:9" x14ac:dyDescent="0.25">
      <c r="C19">
        <f t="shared" si="0"/>
        <v>1.7000000000000015</v>
      </c>
      <c r="D19">
        <f t="shared" si="1"/>
        <v>2.2999999999999985</v>
      </c>
      <c r="E19" s="5">
        <f t="shared" si="2"/>
        <v>148.5799999999999</v>
      </c>
      <c r="F19" s="3">
        <f t="shared" si="3"/>
        <v>1757162.5487720382</v>
      </c>
      <c r="G19" s="3">
        <f t="shared" si="4"/>
        <v>76916.25487720393</v>
      </c>
      <c r="H19" s="5">
        <f t="shared" si="5"/>
        <v>517.67569576796325</v>
      </c>
      <c r="I19" s="5">
        <f t="shared" si="6"/>
        <v>1424.5569841197573</v>
      </c>
    </row>
    <row r="20" spans="1:9" x14ac:dyDescent="0.25">
      <c r="C20">
        <f t="shared" si="0"/>
        <v>1.8000000000000016</v>
      </c>
      <c r="D20">
        <f t="shared" si="1"/>
        <v>2.1999999999999984</v>
      </c>
      <c r="E20" s="5">
        <f t="shared" si="2"/>
        <v>142.11999999999989</v>
      </c>
      <c r="F20" s="3">
        <f t="shared" si="3"/>
        <v>1680764.1770862972</v>
      </c>
      <c r="G20" s="3">
        <f t="shared" si="4"/>
        <v>76876.417708629859</v>
      </c>
      <c r="H20" s="5">
        <f t="shared" si="5"/>
        <v>540.92610265008386</v>
      </c>
      <c r="I20" s="5">
        <f t="shared" si="6"/>
        <v>1362.6197239406372</v>
      </c>
    </row>
    <row r="21" spans="1:9" x14ac:dyDescent="0.25">
      <c r="C21">
        <f t="shared" si="0"/>
        <v>1.9000000000000017</v>
      </c>
      <c r="D21">
        <f t="shared" si="1"/>
        <v>2.0999999999999983</v>
      </c>
      <c r="E21" s="5">
        <f t="shared" si="2"/>
        <v>135.65999999999991</v>
      </c>
      <c r="F21" s="3">
        <f t="shared" si="3"/>
        <v>1604365.8054005562</v>
      </c>
      <c r="G21" s="3">
        <f t="shared" si="4"/>
        <v>76836.580540055773</v>
      </c>
      <c r="H21" s="5">
        <f t="shared" si="5"/>
        <v>566.3908339971681</v>
      </c>
      <c r="I21" s="5">
        <f t="shared" si="6"/>
        <v>1300.6824637615171</v>
      </c>
    </row>
    <row r="22" spans="1:9" x14ac:dyDescent="0.25">
      <c r="C22">
        <f t="shared" si="0"/>
        <v>2.0000000000000018</v>
      </c>
      <c r="D22">
        <f t="shared" si="1"/>
        <v>1.9999999999999982</v>
      </c>
      <c r="E22" s="5">
        <f t="shared" si="2"/>
        <v>129.19999999999987</v>
      </c>
      <c r="F22" s="3">
        <f t="shared" si="3"/>
        <v>1527967.4337148154</v>
      </c>
      <c r="G22" s="3">
        <f t="shared" si="4"/>
        <v>76796.743371481687</v>
      </c>
      <c r="H22" s="5">
        <f t="shared" si="5"/>
        <v>594.402038478961</v>
      </c>
      <c r="I22" s="5">
        <f t="shared" si="6"/>
        <v>1238.7452035823974</v>
      </c>
    </row>
    <row r="23" spans="1:9" x14ac:dyDescent="0.25">
      <c r="C23">
        <f t="shared" si="0"/>
        <v>2.1000000000000019</v>
      </c>
      <c r="D23">
        <f t="shared" si="1"/>
        <v>1.8999999999999981</v>
      </c>
      <c r="E23" s="5">
        <f t="shared" si="2"/>
        <v>122.73999999999991</v>
      </c>
      <c r="F23" s="3">
        <f t="shared" si="3"/>
        <v>1451569.0620290746</v>
      </c>
      <c r="G23" s="3">
        <f t="shared" si="4"/>
        <v>76756.906202907601</v>
      </c>
      <c r="H23" s="5">
        <f t="shared" si="5"/>
        <v>625.36179080094234</v>
      </c>
      <c r="I23" s="5">
        <f t="shared" si="6"/>
        <v>1176.8079434032775</v>
      </c>
    </row>
    <row r="24" spans="1:9" x14ac:dyDescent="0.25">
      <c r="C24">
        <f t="shared" si="0"/>
        <v>2.200000000000002</v>
      </c>
      <c r="D24">
        <f t="shared" si="1"/>
        <v>1.799999999999998</v>
      </c>
      <c r="E24" s="5">
        <f t="shared" si="2"/>
        <v>116.27999999999987</v>
      </c>
      <c r="F24" s="3">
        <f t="shared" si="3"/>
        <v>1375170.6903433336</v>
      </c>
      <c r="G24" s="3">
        <f t="shared" si="4"/>
        <v>76717.069034333515</v>
      </c>
      <c r="H24" s="5">
        <f t="shared" si="5"/>
        <v>659.76151560314418</v>
      </c>
      <c r="I24" s="5">
        <f t="shared" si="6"/>
        <v>1114.8706832241573</v>
      </c>
    </row>
    <row r="25" spans="1:9" x14ac:dyDescent="0.25">
      <c r="C25">
        <f t="shared" si="0"/>
        <v>2.300000000000002</v>
      </c>
      <c r="D25">
        <f t="shared" si="1"/>
        <v>1.699999999999998</v>
      </c>
      <c r="E25" s="5">
        <f t="shared" si="2"/>
        <v>109.81999999999987</v>
      </c>
      <c r="F25" s="3">
        <f t="shared" si="3"/>
        <v>1298772.3186575929</v>
      </c>
      <c r="G25" s="3">
        <f t="shared" si="4"/>
        <v>76677.23186575943</v>
      </c>
      <c r="H25" s="5">
        <f t="shared" si="5"/>
        <v>698.20826685266366</v>
      </c>
      <c r="I25" s="5">
        <f t="shared" si="6"/>
        <v>1052.9334230450374</v>
      </c>
    </row>
    <row r="26" spans="1:9" x14ac:dyDescent="0.25">
      <c r="C26">
        <f t="shared" si="0"/>
        <v>2.4000000000000021</v>
      </c>
      <c r="D26">
        <f t="shared" si="1"/>
        <v>1.5999999999999979</v>
      </c>
      <c r="E26" s="5">
        <f t="shared" si="2"/>
        <v>103.35999999999987</v>
      </c>
      <c r="F26" s="3">
        <f t="shared" si="3"/>
        <v>1222373.9469718519</v>
      </c>
      <c r="G26" s="3">
        <f t="shared" si="4"/>
        <v>76637.394697185344</v>
      </c>
      <c r="H26" s="5">
        <f t="shared" si="5"/>
        <v>741.46086200837306</v>
      </c>
      <c r="I26" s="5">
        <f t="shared" si="6"/>
        <v>990.99616286591743</v>
      </c>
    </row>
    <row r="27" spans="1:9" x14ac:dyDescent="0.25">
      <c r="C27">
        <f t="shared" si="0"/>
        <v>2.5000000000000022</v>
      </c>
      <c r="D27">
        <f t="shared" si="1"/>
        <v>1.4999999999999978</v>
      </c>
      <c r="E27" s="5">
        <f t="shared" si="2"/>
        <v>96.899999999999864</v>
      </c>
      <c r="F27" s="3">
        <f t="shared" si="3"/>
        <v>1145975.5752861111</v>
      </c>
      <c r="G27" s="3">
        <f t="shared" si="4"/>
        <v>76597.557528611258</v>
      </c>
      <c r="H27" s="5">
        <f t="shared" si="5"/>
        <v>790.48046985151052</v>
      </c>
      <c r="I27" s="5">
        <f t="shared" si="6"/>
        <v>929.05890268679752</v>
      </c>
    </row>
    <row r="28" spans="1:9" x14ac:dyDescent="0.25">
      <c r="C28">
        <f t="shared" si="0"/>
        <v>2.6000000000000023</v>
      </c>
      <c r="D28">
        <f t="shared" si="1"/>
        <v>1.3999999999999977</v>
      </c>
      <c r="E28" s="5">
        <f t="shared" si="2"/>
        <v>90.439999999999856</v>
      </c>
      <c r="F28" s="3">
        <f t="shared" si="3"/>
        <v>1069577.2036003701</v>
      </c>
      <c r="G28" s="3">
        <f t="shared" si="4"/>
        <v>76557.720360037172</v>
      </c>
      <c r="H28" s="5">
        <f t="shared" si="5"/>
        <v>846.5028788150961</v>
      </c>
      <c r="I28" s="5">
        <f t="shared" si="6"/>
        <v>867.12164250767751</v>
      </c>
    </row>
    <row r="29" spans="1:9" x14ac:dyDescent="0.25">
      <c r="C29">
        <f t="shared" si="0"/>
        <v>2.7000000000000024</v>
      </c>
      <c r="D29">
        <f t="shared" si="1"/>
        <v>1.2999999999999976</v>
      </c>
      <c r="E29" s="5">
        <f t="shared" si="2"/>
        <v>83.979999999999848</v>
      </c>
      <c r="F29" s="3">
        <f t="shared" si="3"/>
        <v>993178.83191462921</v>
      </c>
      <c r="G29" s="3">
        <f t="shared" si="4"/>
        <v>76517.883191463086</v>
      </c>
      <c r="H29" s="5">
        <f t="shared" si="5"/>
        <v>911.14411992692578</v>
      </c>
      <c r="I29" s="5">
        <f t="shared" si="6"/>
        <v>805.1843823285576</v>
      </c>
    </row>
    <row r="30" spans="1:9" x14ac:dyDescent="0.25">
      <c r="C30">
        <f t="shared" si="0"/>
        <v>2.8000000000000025</v>
      </c>
      <c r="D30">
        <f t="shared" si="1"/>
        <v>1.1999999999999975</v>
      </c>
      <c r="E30" s="5">
        <f t="shared" si="2"/>
        <v>77.519999999999854</v>
      </c>
      <c r="F30" s="3">
        <f t="shared" si="3"/>
        <v>916780.46022888809</v>
      </c>
      <c r="G30" s="3">
        <f t="shared" si="4"/>
        <v>76478.046022889015</v>
      </c>
      <c r="H30" s="5">
        <f t="shared" si="5"/>
        <v>986.55890122406038</v>
      </c>
      <c r="I30" s="5">
        <f t="shared" si="6"/>
        <v>743.24712214943747</v>
      </c>
    </row>
    <row r="31" spans="1:9" x14ac:dyDescent="0.25">
      <c r="C31">
        <f t="shared" si="0"/>
        <v>2.9000000000000026</v>
      </c>
      <c r="D31">
        <f t="shared" si="1"/>
        <v>1.0999999999999974</v>
      </c>
      <c r="E31" s="5">
        <f t="shared" si="2"/>
        <v>71.059999999999846</v>
      </c>
      <c r="F31" s="3">
        <f t="shared" si="3"/>
        <v>840382.08854314731</v>
      </c>
      <c r="G31" s="3">
        <f t="shared" si="4"/>
        <v>76438.208854314929</v>
      </c>
      <c r="H31" s="5">
        <f t="shared" si="5"/>
        <v>1075.6854609388558</v>
      </c>
      <c r="I31" s="5">
        <f t="shared" si="6"/>
        <v>681.30986197031757</v>
      </c>
    </row>
    <row r="32" spans="1:9" x14ac:dyDescent="0.25">
      <c r="C32">
        <f t="shared" si="0"/>
        <v>3.0000000000000027</v>
      </c>
      <c r="D32">
        <f t="shared" si="1"/>
        <v>0.99999999999999745</v>
      </c>
      <c r="E32" s="5">
        <f t="shared" si="2"/>
        <v>64.599999999999852</v>
      </c>
      <c r="F32" s="3">
        <f t="shared" si="3"/>
        <v>763983.71685740643</v>
      </c>
      <c r="G32" s="3">
        <f t="shared" si="4"/>
        <v>76398.371685740844</v>
      </c>
      <c r="H32" s="5">
        <f t="shared" si="5"/>
        <v>1182.6373325966101</v>
      </c>
      <c r="I32" s="5">
        <f t="shared" si="6"/>
        <v>619.37260179119755</v>
      </c>
    </row>
    <row r="33" spans="3:9" x14ac:dyDescent="0.25">
      <c r="C33">
        <f t="shared" si="0"/>
        <v>3.1000000000000023</v>
      </c>
      <c r="D33">
        <f t="shared" si="1"/>
        <v>0.89999999999999747</v>
      </c>
      <c r="E33" s="5">
        <f t="shared" si="2"/>
        <v>58.139999999999837</v>
      </c>
      <c r="F33" s="3">
        <f t="shared" si="3"/>
        <v>687585.34517166554</v>
      </c>
      <c r="G33" s="3">
        <f t="shared" si="4"/>
        <v>76358.534517166758</v>
      </c>
      <c r="H33" s="5">
        <f t="shared" si="5"/>
        <v>1313.3562868449771</v>
      </c>
      <c r="I33" s="5">
        <f t="shared" si="6"/>
        <v>557.43534161207765</v>
      </c>
    </row>
    <row r="34" spans="3:9" x14ac:dyDescent="0.25">
      <c r="C34">
        <f t="shared" si="0"/>
        <v>3.2000000000000024</v>
      </c>
      <c r="D34">
        <f t="shared" si="1"/>
        <v>0.79999999999999749</v>
      </c>
      <c r="E34" s="5">
        <f t="shared" si="2"/>
        <v>51.679999999999843</v>
      </c>
      <c r="F34" s="3">
        <f t="shared" si="3"/>
        <v>611186.97348592477</v>
      </c>
      <c r="G34" s="3">
        <f t="shared" si="4"/>
        <v>76318.697348592672</v>
      </c>
      <c r="H34" s="5">
        <f t="shared" si="5"/>
        <v>1476.7549796554354</v>
      </c>
      <c r="I34" s="5">
        <f t="shared" si="6"/>
        <v>495.4980814329578</v>
      </c>
    </row>
    <row r="35" spans="3:9" x14ac:dyDescent="0.25">
      <c r="C35">
        <f t="shared" si="0"/>
        <v>3.3000000000000025</v>
      </c>
      <c r="D35">
        <f t="shared" si="1"/>
        <v>0.69999999999999751</v>
      </c>
      <c r="E35" s="5">
        <f t="shared" si="2"/>
        <v>45.219999999999843</v>
      </c>
      <c r="F35" s="3">
        <f t="shared" si="3"/>
        <v>534788.60180018388</v>
      </c>
      <c r="G35" s="3">
        <f t="shared" si="4"/>
        <v>76278.860180018586</v>
      </c>
      <c r="H35" s="5">
        <f t="shared" si="5"/>
        <v>1686.8390132688821</v>
      </c>
      <c r="I35" s="5">
        <f t="shared" si="6"/>
        <v>433.56082125383784</v>
      </c>
    </row>
    <row r="36" spans="3:9" x14ac:dyDescent="0.25">
      <c r="C36">
        <f t="shared" si="0"/>
        <v>3.4000000000000026</v>
      </c>
      <c r="D36">
        <f t="shared" si="1"/>
        <v>0.59999999999999754</v>
      </c>
      <c r="E36" s="5">
        <f t="shared" si="2"/>
        <v>38.759999999999842</v>
      </c>
      <c r="F36" s="3">
        <f t="shared" si="3"/>
        <v>458390.23011444317</v>
      </c>
      <c r="G36" s="3">
        <f t="shared" si="4"/>
        <v>76239.0230114445</v>
      </c>
      <c r="H36" s="5">
        <f t="shared" si="5"/>
        <v>1966.9510580868114</v>
      </c>
      <c r="I36" s="5">
        <f t="shared" si="6"/>
        <v>371.623561074718</v>
      </c>
    </row>
    <row r="37" spans="3:9" x14ac:dyDescent="0.25">
      <c r="C37">
        <f t="shared" si="0"/>
        <v>3.5000000000000027</v>
      </c>
      <c r="D37">
        <f t="shared" si="1"/>
        <v>0.49999999999999756</v>
      </c>
      <c r="E37" s="5">
        <f t="shared" si="2"/>
        <v>32.299999999999841</v>
      </c>
      <c r="F37" s="3">
        <f t="shared" si="3"/>
        <v>381991.85842870234</v>
      </c>
      <c r="G37" s="3">
        <f t="shared" si="4"/>
        <v>76199.185842870414</v>
      </c>
      <c r="H37" s="5">
        <f t="shared" si="5"/>
        <v>2359.1079208319129</v>
      </c>
      <c r="I37" s="5">
        <f t="shared" si="6"/>
        <v>309.68630089559809</v>
      </c>
    </row>
    <row r="38" spans="3:9" x14ac:dyDescent="0.25">
      <c r="C38">
        <f t="shared" si="0"/>
        <v>3.6000000000000023</v>
      </c>
      <c r="D38">
        <f t="shared" si="1"/>
        <v>0.39999999999999758</v>
      </c>
      <c r="E38" s="5">
        <f t="shared" si="2"/>
        <v>25.839999999999844</v>
      </c>
      <c r="F38" s="3">
        <f t="shared" si="3"/>
        <v>305593.48674296151</v>
      </c>
      <c r="G38" s="3">
        <f t="shared" si="4"/>
        <v>76159.348674296329</v>
      </c>
      <c r="H38" s="5">
        <f t="shared" si="5"/>
        <v>2947.3432149495661</v>
      </c>
      <c r="I38" s="5">
        <f t="shared" si="6"/>
        <v>247.74904071647819</v>
      </c>
    </row>
    <row r="39" spans="3:9" x14ac:dyDescent="0.25">
      <c r="C39">
        <f t="shared" si="0"/>
        <v>3.7000000000000024</v>
      </c>
      <c r="D39">
        <f t="shared" si="1"/>
        <v>0.2999999999999976</v>
      </c>
      <c r="E39" s="5">
        <f t="shared" si="2"/>
        <v>19.379999999999846</v>
      </c>
      <c r="F39" s="3">
        <f t="shared" si="3"/>
        <v>229195.11505722068</v>
      </c>
      <c r="G39" s="3">
        <f t="shared" si="4"/>
        <v>76119.511505722257</v>
      </c>
      <c r="H39" s="5">
        <f t="shared" si="5"/>
        <v>3927.735371812325</v>
      </c>
      <c r="I39" s="5">
        <f t="shared" si="6"/>
        <v>185.81178053735826</v>
      </c>
    </row>
    <row r="40" spans="3:9" x14ac:dyDescent="0.25">
      <c r="C40">
        <f t="shared" si="0"/>
        <v>3.8000000000000025</v>
      </c>
      <c r="D40">
        <f t="shared" si="1"/>
        <v>0.1999999999999976</v>
      </c>
      <c r="E40" s="5">
        <f t="shared" si="2"/>
        <v>12.919999999999845</v>
      </c>
      <c r="F40" s="3">
        <f t="shared" si="3"/>
        <v>152796.74337147985</v>
      </c>
      <c r="G40" s="3">
        <f t="shared" si="4"/>
        <v>76079.674337148172</v>
      </c>
      <c r="H40" s="5">
        <f t="shared" si="5"/>
        <v>5888.5196855378545</v>
      </c>
      <c r="I40" s="5">
        <f t="shared" si="6"/>
        <v>123.87452035823836</v>
      </c>
    </row>
    <row r="41" spans="3:9" x14ac:dyDescent="0.25">
      <c r="C41">
        <f t="shared" si="0"/>
        <v>3.9000000000000026</v>
      </c>
      <c r="D41">
        <f t="shared" si="1"/>
        <v>9.9999999999997591E-2</v>
      </c>
      <c r="E41" s="5">
        <f t="shared" si="2"/>
        <v>6.4599999999998454</v>
      </c>
      <c r="F41" s="3">
        <f t="shared" si="3"/>
        <v>76398.371685738995</v>
      </c>
      <c r="G41" s="3">
        <f t="shared" si="4"/>
        <v>76039.837168574086</v>
      </c>
      <c r="H41" s="5">
        <f t="shared" si="5"/>
        <v>11770.872626714536</v>
      </c>
      <c r="I41" s="5">
        <f t="shared" si="6"/>
        <v>61.937260179118425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B13" sqref="B13"/>
    </sheetView>
  </sheetViews>
  <sheetFormatPr defaultRowHeight="15" x14ac:dyDescent="0.25"/>
  <cols>
    <col min="1" max="1" width="58.42578125" customWidth="1"/>
    <col min="2" max="2" width="11.42578125" customWidth="1"/>
    <col min="3" max="3" width="15" customWidth="1"/>
    <col min="4" max="4" width="8.42578125" customWidth="1"/>
    <col min="7" max="7" width="10.42578125" customWidth="1"/>
    <col min="8" max="8" width="9.7109375" customWidth="1"/>
  </cols>
  <sheetData>
    <row r="1" spans="1:9" ht="75" x14ac:dyDescent="0.25">
      <c r="B1" s="1" t="s">
        <v>17</v>
      </c>
      <c r="C1" s="1" t="s">
        <v>2</v>
      </c>
      <c r="D1" s="1" t="s">
        <v>16</v>
      </c>
      <c r="E1" s="1" t="s">
        <v>0</v>
      </c>
      <c r="F1" s="1" t="s">
        <v>19</v>
      </c>
      <c r="G1" s="1" t="s">
        <v>21</v>
      </c>
      <c r="H1" s="1" t="s">
        <v>22</v>
      </c>
      <c r="I1" s="1" t="s">
        <v>25</v>
      </c>
    </row>
    <row r="2" spans="1:9" x14ac:dyDescent="0.25">
      <c r="A2" s="1" t="s">
        <v>12</v>
      </c>
      <c r="B2">
        <v>30</v>
      </c>
      <c r="C2">
        <f t="shared" ref="C2:C41" si="0" xml:space="preserve"> B$5 - D2</f>
        <v>0</v>
      </c>
      <c r="D2">
        <v>4</v>
      </c>
      <c r="E2" s="5"/>
      <c r="F2" s="3"/>
      <c r="G2" s="3"/>
      <c r="H2" s="5"/>
      <c r="I2" s="5"/>
    </row>
    <row r="3" spans="1:9" x14ac:dyDescent="0.25">
      <c r="A3" s="1" t="s">
        <v>13</v>
      </c>
      <c r="B3">
        <f xml:space="preserve"> TAN(PI()/180 * $B$2)</f>
        <v>0.57735026918962573</v>
      </c>
      <c r="C3">
        <f t="shared" si="0"/>
        <v>0.10000000000000009</v>
      </c>
      <c r="D3">
        <f t="shared" ref="D3:D41" si="1" xml:space="preserve"> D2 - B$4</f>
        <v>3.9</v>
      </c>
      <c r="E3" s="5"/>
      <c r="F3" s="3"/>
      <c r="G3" s="3"/>
      <c r="H3" s="5"/>
      <c r="I3" s="5"/>
    </row>
    <row r="4" spans="1:9" x14ac:dyDescent="0.25">
      <c r="A4" s="1" t="s">
        <v>20</v>
      </c>
      <c r="B4">
        <v>0.1</v>
      </c>
      <c r="C4">
        <f t="shared" si="0"/>
        <v>0.20000000000000018</v>
      </c>
      <c r="D4">
        <f t="shared" si="1"/>
        <v>3.8</v>
      </c>
      <c r="E4" s="5"/>
      <c r="F4" s="3"/>
      <c r="G4" s="3"/>
      <c r="H4" s="5"/>
      <c r="I4" s="5"/>
    </row>
    <row r="5" spans="1:9" x14ac:dyDescent="0.25">
      <c r="A5" s="1" t="s">
        <v>1</v>
      </c>
      <c r="B5">
        <v>4</v>
      </c>
      <c r="C5">
        <f t="shared" si="0"/>
        <v>0.30000000000000027</v>
      </c>
      <c r="D5">
        <f t="shared" si="1"/>
        <v>3.6999999999999997</v>
      </c>
      <c r="E5" s="5"/>
      <c r="F5" s="3"/>
      <c r="G5" s="3"/>
      <c r="H5" s="5"/>
      <c r="I5" s="5"/>
    </row>
    <row r="6" spans="1:9" x14ac:dyDescent="0.25">
      <c r="A6" s="1" t="s">
        <v>14</v>
      </c>
      <c r="B6">
        <v>6.4</v>
      </c>
      <c r="C6">
        <f t="shared" si="0"/>
        <v>0.40000000000000036</v>
      </c>
      <c r="D6">
        <f t="shared" si="1"/>
        <v>3.5999999999999996</v>
      </c>
      <c r="E6" s="5"/>
      <c r="F6" s="3"/>
      <c r="G6" s="3"/>
      <c r="H6" s="5"/>
      <c r="I6" s="5"/>
    </row>
    <row r="7" spans="1:9" x14ac:dyDescent="0.25">
      <c r="A7" s="1" t="s">
        <v>18</v>
      </c>
      <c r="B7">
        <v>1</v>
      </c>
      <c r="C7">
        <f t="shared" si="0"/>
        <v>0.50000000000000044</v>
      </c>
      <c r="D7">
        <f t="shared" si="1"/>
        <v>3.4999999999999996</v>
      </c>
      <c r="E7" s="5"/>
      <c r="F7" s="3"/>
      <c r="G7" s="3"/>
      <c r="H7" s="5"/>
      <c r="I7" s="5"/>
    </row>
    <row r="8" spans="1:9" x14ac:dyDescent="0.25">
      <c r="A8" s="1" t="s">
        <v>11</v>
      </c>
      <c r="B8" s="3">
        <v>400</v>
      </c>
      <c r="C8">
        <f t="shared" si="0"/>
        <v>0.60000000000000053</v>
      </c>
      <c r="D8">
        <f t="shared" si="1"/>
        <v>3.3999999999999995</v>
      </c>
      <c r="E8" s="5"/>
      <c r="F8" s="3"/>
      <c r="G8" s="3"/>
      <c r="H8" s="5"/>
      <c r="I8" s="5"/>
    </row>
    <row r="9" spans="1:9" x14ac:dyDescent="0.25">
      <c r="A9" s="1" t="s">
        <v>15</v>
      </c>
      <c r="B9" s="3">
        <v>1900</v>
      </c>
      <c r="C9">
        <f t="shared" si="0"/>
        <v>0.70000000000000062</v>
      </c>
      <c r="D9">
        <f t="shared" si="1"/>
        <v>3.2999999999999994</v>
      </c>
      <c r="E9" s="5"/>
      <c r="F9" s="3"/>
      <c r="G9" s="3"/>
      <c r="H9" s="5"/>
      <c r="I9" s="5"/>
    </row>
    <row r="10" spans="1:9" x14ac:dyDescent="0.25">
      <c r="C10">
        <f t="shared" si="0"/>
        <v>0.80000000000000071</v>
      </c>
      <c r="D10">
        <f t="shared" si="1"/>
        <v>3.1999999999999993</v>
      </c>
      <c r="E10" s="5"/>
      <c r="F10" s="3"/>
      <c r="G10" s="3"/>
      <c r="H10" s="5"/>
      <c r="I10" s="5"/>
    </row>
    <row r="11" spans="1:9" x14ac:dyDescent="0.25">
      <c r="C11">
        <f t="shared" si="0"/>
        <v>0.9000000000000008</v>
      </c>
      <c r="D11">
        <f t="shared" si="1"/>
        <v>3.0999999999999992</v>
      </c>
      <c r="E11" s="5"/>
      <c r="F11" s="3"/>
      <c r="G11" s="3"/>
      <c r="H11" s="5"/>
      <c r="I11" s="5"/>
    </row>
    <row r="12" spans="1:9" x14ac:dyDescent="0.25">
      <c r="A12" s="1" t="s">
        <v>28</v>
      </c>
      <c r="B12">
        <v>1.56</v>
      </c>
      <c r="C12">
        <f t="shared" si="0"/>
        <v>1.0000000000000009</v>
      </c>
      <c r="D12">
        <f t="shared" si="1"/>
        <v>2.9999999999999991</v>
      </c>
      <c r="E12" s="5"/>
      <c r="F12" s="3"/>
      <c r="G12" s="3"/>
      <c r="H12" s="5"/>
      <c r="I12" s="5"/>
    </row>
    <row r="13" spans="1:9" x14ac:dyDescent="0.25">
      <c r="A13" s="1" t="s">
        <v>24</v>
      </c>
      <c r="B13">
        <f xml:space="preserve"> 8.5 * POWER(10,-5)</f>
        <v>8.5000000000000006E-5</v>
      </c>
      <c r="C13">
        <f t="shared" si="0"/>
        <v>1.100000000000001</v>
      </c>
      <c r="D13">
        <f t="shared" si="1"/>
        <v>2.899999999999999</v>
      </c>
      <c r="E13" s="5"/>
      <c r="F13" s="3"/>
      <c r="G13" s="3"/>
      <c r="H13" s="5"/>
      <c r="I13" s="5"/>
    </row>
    <row r="14" spans="1:9" x14ac:dyDescent="0.25">
      <c r="A14" s="1" t="s">
        <v>3</v>
      </c>
      <c r="B14" s="6">
        <f xml:space="preserve"> I27</f>
        <v>929.05890268679752</v>
      </c>
      <c r="C14">
        <f t="shared" si="0"/>
        <v>1.2000000000000011</v>
      </c>
      <c r="D14">
        <f t="shared" si="1"/>
        <v>2.7999999999999989</v>
      </c>
      <c r="E14" s="5"/>
      <c r="F14" s="3"/>
      <c r="G14" s="3"/>
      <c r="H14" s="5"/>
      <c r="I14" s="5"/>
    </row>
    <row r="15" spans="1:9" x14ac:dyDescent="0.25">
      <c r="A15" s="1" t="s">
        <v>5</v>
      </c>
      <c r="B15" s="6">
        <f xml:space="preserve"> 900000 /365/2</f>
        <v>1232.8767123287671</v>
      </c>
      <c r="C15">
        <f t="shared" si="0"/>
        <v>1.3000000000000012</v>
      </c>
      <c r="D15">
        <f t="shared" si="1"/>
        <v>2.6999999999999988</v>
      </c>
      <c r="E15" s="5"/>
      <c r="F15" s="3"/>
      <c r="G15" s="3"/>
      <c r="H15" s="5"/>
      <c r="I15" s="5"/>
    </row>
    <row r="16" spans="1:9" x14ac:dyDescent="0.25">
      <c r="A16" s="1" t="s">
        <v>4</v>
      </c>
      <c r="B16" s="2">
        <f xml:space="preserve"> B14 / B15</f>
        <v>0.75356999884595799</v>
      </c>
      <c r="C16">
        <f t="shared" si="0"/>
        <v>1.4000000000000012</v>
      </c>
      <c r="D16">
        <f t="shared" si="1"/>
        <v>2.5999999999999988</v>
      </c>
      <c r="E16" s="5"/>
      <c r="F16" s="3"/>
      <c r="G16" s="3"/>
      <c r="H16" s="5"/>
      <c r="I16" s="5"/>
    </row>
    <row r="17" spans="1:9" x14ac:dyDescent="0.25">
      <c r="C17">
        <f t="shared" si="0"/>
        <v>1.5000000000000013</v>
      </c>
      <c r="D17">
        <f t="shared" si="1"/>
        <v>2.4999999999999987</v>
      </c>
      <c r="E17" s="5"/>
      <c r="F17" s="3"/>
      <c r="G17" s="3"/>
      <c r="H17" s="5"/>
      <c r="I17" s="5"/>
    </row>
    <row r="18" spans="1:9" x14ac:dyDescent="0.25">
      <c r="A18" s="1" t="s">
        <v>23</v>
      </c>
      <c r="B18" s="5">
        <f xml:space="preserve"> SUM(H2:H41)/60/60</f>
        <v>10.86958036695982</v>
      </c>
      <c r="C18">
        <f t="shared" si="0"/>
        <v>1.6000000000000014</v>
      </c>
      <c r="D18">
        <f t="shared" si="1"/>
        <v>2.3999999999999986</v>
      </c>
      <c r="E18" s="5"/>
      <c r="F18" s="3"/>
      <c r="G18" s="3"/>
      <c r="H18" s="5"/>
      <c r="I18" s="5"/>
    </row>
    <row r="19" spans="1:9" x14ac:dyDescent="0.25">
      <c r="C19">
        <f t="shared" si="0"/>
        <v>1.7000000000000015</v>
      </c>
      <c r="D19">
        <f t="shared" si="1"/>
        <v>2.2999999999999985</v>
      </c>
      <c r="E19" s="5"/>
      <c r="F19" s="3"/>
      <c r="G19" s="3"/>
      <c r="H19" s="5"/>
      <c r="I19" s="5"/>
    </row>
    <row r="20" spans="1:9" x14ac:dyDescent="0.25">
      <c r="C20">
        <f t="shared" si="0"/>
        <v>1.8000000000000016</v>
      </c>
      <c r="D20">
        <f t="shared" si="1"/>
        <v>2.1999999999999984</v>
      </c>
      <c r="E20" s="5"/>
      <c r="F20" s="3"/>
      <c r="G20" s="3"/>
      <c r="H20" s="5"/>
      <c r="I20" s="5"/>
    </row>
    <row r="21" spans="1:9" x14ac:dyDescent="0.25">
      <c r="C21">
        <f t="shared" si="0"/>
        <v>1.9000000000000017</v>
      </c>
      <c r="D21">
        <f t="shared" si="1"/>
        <v>2.0999999999999983</v>
      </c>
      <c r="E21" s="5"/>
      <c r="F21" s="3"/>
      <c r="G21" s="3"/>
      <c r="H21" s="5"/>
      <c r="I21" s="5"/>
    </row>
    <row r="22" spans="1:9" x14ac:dyDescent="0.25">
      <c r="C22">
        <f t="shared" si="0"/>
        <v>2.0000000000000018</v>
      </c>
      <c r="D22">
        <f t="shared" si="1"/>
        <v>1.9999999999999982</v>
      </c>
      <c r="E22" s="5"/>
      <c r="F22" s="3"/>
      <c r="G22" s="3"/>
      <c r="H22" s="5"/>
      <c r="I22" s="5"/>
    </row>
    <row r="23" spans="1:9" x14ac:dyDescent="0.25">
      <c r="C23">
        <f t="shared" si="0"/>
        <v>2.1000000000000019</v>
      </c>
      <c r="D23">
        <f t="shared" si="1"/>
        <v>1.8999999999999981</v>
      </c>
      <c r="E23" s="5"/>
      <c r="F23" s="3"/>
      <c r="G23" s="3"/>
      <c r="H23" s="5"/>
      <c r="I23" s="5"/>
    </row>
    <row r="24" spans="1:9" x14ac:dyDescent="0.25">
      <c r="C24">
        <f t="shared" si="0"/>
        <v>2.200000000000002</v>
      </c>
      <c r="D24">
        <f t="shared" si="1"/>
        <v>1.799999999999998</v>
      </c>
      <c r="E24" s="5"/>
      <c r="F24" s="3"/>
      <c r="G24" s="3"/>
      <c r="H24" s="5"/>
      <c r="I24" s="5"/>
    </row>
    <row r="25" spans="1:9" x14ac:dyDescent="0.25">
      <c r="C25">
        <f t="shared" si="0"/>
        <v>2.300000000000002</v>
      </c>
      <c r="D25">
        <f t="shared" si="1"/>
        <v>1.699999999999998</v>
      </c>
      <c r="E25" s="5"/>
      <c r="F25" s="3"/>
      <c r="G25" s="3"/>
      <c r="H25" s="5"/>
      <c r="I25" s="5"/>
    </row>
    <row r="26" spans="1:9" x14ac:dyDescent="0.25">
      <c r="C26">
        <f t="shared" si="0"/>
        <v>2.4000000000000021</v>
      </c>
      <c r="D26">
        <f t="shared" si="1"/>
        <v>1.5999999999999979</v>
      </c>
      <c r="E26" s="5"/>
      <c r="F26" s="3"/>
      <c r="G26" s="3"/>
      <c r="H26" s="5"/>
      <c r="I26" s="5"/>
    </row>
    <row r="27" spans="1:9" x14ac:dyDescent="0.25">
      <c r="C27">
        <f t="shared" si="0"/>
        <v>2.5000000000000022</v>
      </c>
      <c r="D27">
        <f t="shared" si="1"/>
        <v>1.4999999999999978</v>
      </c>
      <c r="E27" s="5">
        <f t="shared" ref="E27:E41" si="2" xml:space="preserve"> B$13 * D27 / B$7 * B$8 * B$9</f>
        <v>96.899999999999864</v>
      </c>
      <c r="F27" s="3">
        <f t="shared" ref="F27:F41" si="3" xml:space="preserve"> $D27 * $B$8 * $B$9 + $D27 / $B$3 * ($B$8 + $B$9)</f>
        <v>1145975.5752861111</v>
      </c>
      <c r="G27" s="3">
        <f t="shared" ref="G27:G41" si="4" xml:space="preserve">  $B$4 * $B$8 * $B$9 + $D27 / $B$3 * $B$4 * ($B$8 + $B$9)</f>
        <v>76597.557528611258</v>
      </c>
      <c r="H27" s="5">
        <f t="shared" ref="H27:H41" si="5" xml:space="preserve"> G27 / E27</f>
        <v>790.48046985151052</v>
      </c>
      <c r="I27" s="5">
        <f t="shared" ref="I27:I41" si="6" xml:space="preserve"> F27 /  1233.48</f>
        <v>929.05890268679752</v>
      </c>
    </row>
    <row r="28" spans="1:9" x14ac:dyDescent="0.25">
      <c r="C28">
        <f t="shared" si="0"/>
        <v>2.6000000000000023</v>
      </c>
      <c r="D28">
        <f t="shared" si="1"/>
        <v>1.3999999999999977</v>
      </c>
      <c r="E28" s="5">
        <f t="shared" si="2"/>
        <v>90.439999999999856</v>
      </c>
      <c r="F28" s="3">
        <f t="shared" si="3"/>
        <v>1069577.2036003701</v>
      </c>
      <c r="G28" s="3">
        <f t="shared" si="4"/>
        <v>76557.720360037172</v>
      </c>
      <c r="H28" s="5">
        <f t="shared" si="5"/>
        <v>846.5028788150961</v>
      </c>
      <c r="I28" s="5">
        <f t="shared" si="6"/>
        <v>867.12164250767751</v>
      </c>
    </row>
    <row r="29" spans="1:9" x14ac:dyDescent="0.25">
      <c r="C29">
        <f t="shared" si="0"/>
        <v>2.7000000000000024</v>
      </c>
      <c r="D29">
        <f t="shared" si="1"/>
        <v>1.2999999999999976</v>
      </c>
      <c r="E29" s="5">
        <f t="shared" si="2"/>
        <v>83.979999999999848</v>
      </c>
      <c r="F29" s="3">
        <f t="shared" si="3"/>
        <v>993178.83191462921</v>
      </c>
      <c r="G29" s="3">
        <f t="shared" si="4"/>
        <v>76517.883191463086</v>
      </c>
      <c r="H29" s="5">
        <f t="shared" si="5"/>
        <v>911.14411992692578</v>
      </c>
      <c r="I29" s="5">
        <f t="shared" si="6"/>
        <v>805.1843823285576</v>
      </c>
    </row>
    <row r="30" spans="1:9" x14ac:dyDescent="0.25">
      <c r="C30">
        <f t="shared" si="0"/>
        <v>2.8000000000000025</v>
      </c>
      <c r="D30">
        <f t="shared" si="1"/>
        <v>1.1999999999999975</v>
      </c>
      <c r="E30" s="5">
        <f t="shared" si="2"/>
        <v>77.519999999999854</v>
      </c>
      <c r="F30" s="3">
        <f t="shared" si="3"/>
        <v>916780.46022888809</v>
      </c>
      <c r="G30" s="3">
        <f t="shared" si="4"/>
        <v>76478.046022889015</v>
      </c>
      <c r="H30" s="5">
        <f t="shared" si="5"/>
        <v>986.55890122406038</v>
      </c>
      <c r="I30" s="5">
        <f t="shared" si="6"/>
        <v>743.24712214943747</v>
      </c>
    </row>
    <row r="31" spans="1:9" x14ac:dyDescent="0.25">
      <c r="C31">
        <f t="shared" si="0"/>
        <v>2.9000000000000026</v>
      </c>
      <c r="D31">
        <f t="shared" si="1"/>
        <v>1.0999999999999974</v>
      </c>
      <c r="E31" s="5">
        <f t="shared" si="2"/>
        <v>71.059999999999846</v>
      </c>
      <c r="F31" s="3">
        <f t="shared" si="3"/>
        <v>840382.08854314731</v>
      </c>
      <c r="G31" s="3">
        <f t="shared" si="4"/>
        <v>76438.208854314929</v>
      </c>
      <c r="H31" s="5">
        <f t="shared" si="5"/>
        <v>1075.6854609388558</v>
      </c>
      <c r="I31" s="5">
        <f t="shared" si="6"/>
        <v>681.30986197031757</v>
      </c>
    </row>
    <row r="32" spans="1:9" x14ac:dyDescent="0.25">
      <c r="C32">
        <f t="shared" si="0"/>
        <v>3.0000000000000027</v>
      </c>
      <c r="D32">
        <f t="shared" si="1"/>
        <v>0.99999999999999745</v>
      </c>
      <c r="E32" s="5">
        <f t="shared" si="2"/>
        <v>64.599999999999852</v>
      </c>
      <c r="F32" s="3">
        <f t="shared" si="3"/>
        <v>763983.71685740643</v>
      </c>
      <c r="G32" s="3">
        <f t="shared" si="4"/>
        <v>76398.371685740844</v>
      </c>
      <c r="H32" s="5">
        <f t="shared" si="5"/>
        <v>1182.6373325966101</v>
      </c>
      <c r="I32" s="5">
        <f t="shared" si="6"/>
        <v>619.37260179119755</v>
      </c>
    </row>
    <row r="33" spans="3:9" x14ac:dyDescent="0.25">
      <c r="C33">
        <f t="shared" si="0"/>
        <v>3.1000000000000023</v>
      </c>
      <c r="D33">
        <f t="shared" si="1"/>
        <v>0.89999999999999747</v>
      </c>
      <c r="E33" s="5">
        <f t="shared" si="2"/>
        <v>58.139999999999837</v>
      </c>
      <c r="F33" s="3">
        <f t="shared" si="3"/>
        <v>687585.34517166554</v>
      </c>
      <c r="G33" s="3">
        <f t="shared" si="4"/>
        <v>76358.534517166758</v>
      </c>
      <c r="H33" s="5">
        <f t="shared" si="5"/>
        <v>1313.3562868449771</v>
      </c>
      <c r="I33" s="5">
        <f t="shared" si="6"/>
        <v>557.43534161207765</v>
      </c>
    </row>
    <row r="34" spans="3:9" x14ac:dyDescent="0.25">
      <c r="C34">
        <f t="shared" si="0"/>
        <v>3.2000000000000024</v>
      </c>
      <c r="D34">
        <f t="shared" si="1"/>
        <v>0.79999999999999749</v>
      </c>
      <c r="E34" s="5">
        <f t="shared" si="2"/>
        <v>51.679999999999843</v>
      </c>
      <c r="F34" s="3">
        <f t="shared" si="3"/>
        <v>611186.97348592477</v>
      </c>
      <c r="G34" s="3">
        <f t="shared" si="4"/>
        <v>76318.697348592672</v>
      </c>
      <c r="H34" s="5">
        <f t="shared" si="5"/>
        <v>1476.7549796554354</v>
      </c>
      <c r="I34" s="5">
        <f t="shared" si="6"/>
        <v>495.4980814329578</v>
      </c>
    </row>
    <row r="35" spans="3:9" x14ac:dyDescent="0.25">
      <c r="C35">
        <f t="shared" si="0"/>
        <v>3.3000000000000025</v>
      </c>
      <c r="D35">
        <f t="shared" si="1"/>
        <v>0.69999999999999751</v>
      </c>
      <c r="E35" s="5">
        <f t="shared" si="2"/>
        <v>45.219999999999843</v>
      </c>
      <c r="F35" s="3">
        <f t="shared" si="3"/>
        <v>534788.60180018388</v>
      </c>
      <c r="G35" s="3">
        <f t="shared" si="4"/>
        <v>76278.860180018586</v>
      </c>
      <c r="H35" s="5">
        <f t="shared" si="5"/>
        <v>1686.8390132688821</v>
      </c>
      <c r="I35" s="5">
        <f t="shared" si="6"/>
        <v>433.56082125383784</v>
      </c>
    </row>
    <row r="36" spans="3:9" x14ac:dyDescent="0.25">
      <c r="C36">
        <f t="shared" si="0"/>
        <v>3.4000000000000026</v>
      </c>
      <c r="D36">
        <f t="shared" si="1"/>
        <v>0.59999999999999754</v>
      </c>
      <c r="E36" s="5">
        <f t="shared" si="2"/>
        <v>38.759999999999842</v>
      </c>
      <c r="F36" s="3">
        <f t="shared" si="3"/>
        <v>458390.23011444317</v>
      </c>
      <c r="G36" s="3">
        <f t="shared" si="4"/>
        <v>76239.0230114445</v>
      </c>
      <c r="H36" s="5">
        <f t="shared" si="5"/>
        <v>1966.9510580868114</v>
      </c>
      <c r="I36" s="5">
        <f t="shared" si="6"/>
        <v>371.623561074718</v>
      </c>
    </row>
    <row r="37" spans="3:9" x14ac:dyDescent="0.25">
      <c r="C37">
        <f t="shared" si="0"/>
        <v>3.5000000000000027</v>
      </c>
      <c r="D37">
        <f t="shared" si="1"/>
        <v>0.49999999999999756</v>
      </c>
      <c r="E37" s="5">
        <f t="shared" si="2"/>
        <v>32.299999999999841</v>
      </c>
      <c r="F37" s="3">
        <f t="shared" si="3"/>
        <v>381991.85842870234</v>
      </c>
      <c r="G37" s="3">
        <f t="shared" si="4"/>
        <v>76199.185842870414</v>
      </c>
      <c r="H37" s="5">
        <f t="shared" si="5"/>
        <v>2359.1079208319129</v>
      </c>
      <c r="I37" s="5">
        <f t="shared" si="6"/>
        <v>309.68630089559809</v>
      </c>
    </row>
    <row r="38" spans="3:9" x14ac:dyDescent="0.25">
      <c r="C38">
        <f t="shared" si="0"/>
        <v>3.6000000000000023</v>
      </c>
      <c r="D38">
        <f t="shared" si="1"/>
        <v>0.39999999999999758</v>
      </c>
      <c r="E38" s="5">
        <f t="shared" si="2"/>
        <v>25.839999999999844</v>
      </c>
      <c r="F38" s="3">
        <f t="shared" si="3"/>
        <v>305593.48674296151</v>
      </c>
      <c r="G38" s="3">
        <f t="shared" si="4"/>
        <v>76159.348674296329</v>
      </c>
      <c r="H38" s="5">
        <f t="shared" si="5"/>
        <v>2947.3432149495661</v>
      </c>
      <c r="I38" s="5">
        <f t="shared" si="6"/>
        <v>247.74904071647819</v>
      </c>
    </row>
    <row r="39" spans="3:9" x14ac:dyDescent="0.25">
      <c r="C39">
        <f t="shared" si="0"/>
        <v>3.7000000000000024</v>
      </c>
      <c r="D39">
        <f t="shared" si="1"/>
        <v>0.2999999999999976</v>
      </c>
      <c r="E39" s="5">
        <f t="shared" si="2"/>
        <v>19.379999999999846</v>
      </c>
      <c r="F39" s="3">
        <f t="shared" si="3"/>
        <v>229195.11505722068</v>
      </c>
      <c r="G39" s="3">
        <f t="shared" si="4"/>
        <v>76119.511505722257</v>
      </c>
      <c r="H39" s="5">
        <f t="shared" si="5"/>
        <v>3927.735371812325</v>
      </c>
      <c r="I39" s="5">
        <f t="shared" si="6"/>
        <v>185.81178053735826</v>
      </c>
    </row>
    <row r="40" spans="3:9" x14ac:dyDescent="0.25">
      <c r="C40">
        <f t="shared" si="0"/>
        <v>3.8000000000000025</v>
      </c>
      <c r="D40">
        <f t="shared" si="1"/>
        <v>0.1999999999999976</v>
      </c>
      <c r="E40" s="5">
        <f t="shared" si="2"/>
        <v>12.919999999999845</v>
      </c>
      <c r="F40" s="3">
        <f t="shared" si="3"/>
        <v>152796.74337147985</v>
      </c>
      <c r="G40" s="3">
        <f t="shared" si="4"/>
        <v>76079.674337148172</v>
      </c>
      <c r="H40" s="5">
        <f t="shared" si="5"/>
        <v>5888.5196855378545</v>
      </c>
      <c r="I40" s="5">
        <f t="shared" si="6"/>
        <v>123.87452035823836</v>
      </c>
    </row>
    <row r="41" spans="3:9" x14ac:dyDescent="0.25">
      <c r="C41">
        <f t="shared" si="0"/>
        <v>3.9000000000000026</v>
      </c>
      <c r="D41">
        <f t="shared" si="1"/>
        <v>9.9999999999997591E-2</v>
      </c>
      <c r="E41" s="5">
        <f t="shared" si="2"/>
        <v>6.4599999999998454</v>
      </c>
      <c r="F41" s="3">
        <f t="shared" si="3"/>
        <v>76398.371685738995</v>
      </c>
      <c r="G41" s="3">
        <f t="shared" si="4"/>
        <v>76039.837168574086</v>
      </c>
      <c r="H41" s="5">
        <f t="shared" si="5"/>
        <v>11770.872626714536</v>
      </c>
      <c r="I41" s="5">
        <f t="shared" si="6"/>
        <v>61.937260179118425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B13" sqref="B13"/>
    </sheetView>
  </sheetViews>
  <sheetFormatPr defaultRowHeight="15" x14ac:dyDescent="0.25"/>
  <cols>
    <col min="1" max="1" width="58.42578125" customWidth="1"/>
    <col min="2" max="2" width="11.42578125" customWidth="1"/>
    <col min="3" max="3" width="15" customWidth="1"/>
    <col min="4" max="4" width="8.42578125" customWidth="1"/>
    <col min="7" max="7" width="10.42578125" customWidth="1"/>
    <col min="8" max="8" width="9.7109375" customWidth="1"/>
  </cols>
  <sheetData>
    <row r="1" spans="1:9" ht="75" x14ac:dyDescent="0.25">
      <c r="B1" s="1" t="s">
        <v>17</v>
      </c>
      <c r="C1" s="1" t="s">
        <v>2</v>
      </c>
      <c r="D1" s="1" t="s">
        <v>16</v>
      </c>
      <c r="E1" s="1" t="s">
        <v>0</v>
      </c>
      <c r="F1" s="1" t="s">
        <v>19</v>
      </c>
      <c r="G1" s="1" t="s">
        <v>21</v>
      </c>
      <c r="H1" s="1" t="s">
        <v>22</v>
      </c>
      <c r="I1" s="1" t="s">
        <v>25</v>
      </c>
    </row>
    <row r="2" spans="1:9" x14ac:dyDescent="0.25">
      <c r="A2" s="1" t="s">
        <v>12</v>
      </c>
      <c r="B2">
        <v>30</v>
      </c>
      <c r="C2">
        <f t="shared" ref="C2:C41" si="0" xml:space="preserve"> B$5 - D2</f>
        <v>0</v>
      </c>
      <c r="D2">
        <v>4</v>
      </c>
      <c r="E2" s="5"/>
      <c r="F2" s="3"/>
      <c r="G2" s="3"/>
      <c r="H2" s="5"/>
      <c r="I2" s="5"/>
    </row>
    <row r="3" spans="1:9" x14ac:dyDescent="0.25">
      <c r="A3" s="1" t="s">
        <v>13</v>
      </c>
      <c r="B3">
        <f xml:space="preserve"> TAN(PI()/180 * $B$2)</f>
        <v>0.57735026918962573</v>
      </c>
      <c r="C3">
        <f t="shared" si="0"/>
        <v>0.10000000000000009</v>
      </c>
      <c r="D3">
        <f t="shared" ref="D3:D41" si="1" xml:space="preserve"> D2 - B$4</f>
        <v>3.9</v>
      </c>
      <c r="E3" s="5"/>
      <c r="F3" s="3"/>
      <c r="G3" s="3"/>
      <c r="H3" s="5"/>
      <c r="I3" s="5"/>
    </row>
    <row r="4" spans="1:9" x14ac:dyDescent="0.25">
      <c r="A4" s="1" t="s">
        <v>20</v>
      </c>
      <c r="B4">
        <v>0.1</v>
      </c>
      <c r="C4">
        <f t="shared" si="0"/>
        <v>0.20000000000000018</v>
      </c>
      <c r="D4">
        <f t="shared" si="1"/>
        <v>3.8</v>
      </c>
      <c r="E4" s="5"/>
      <c r="F4" s="3"/>
      <c r="G4" s="3"/>
      <c r="H4" s="5"/>
      <c r="I4" s="5"/>
    </row>
    <row r="5" spans="1:9" x14ac:dyDescent="0.25">
      <c r="A5" s="1" t="s">
        <v>1</v>
      </c>
      <c r="B5">
        <v>4</v>
      </c>
      <c r="C5">
        <f t="shared" si="0"/>
        <v>0.30000000000000027</v>
      </c>
      <c r="D5">
        <f t="shared" si="1"/>
        <v>3.6999999999999997</v>
      </c>
      <c r="E5" s="5"/>
      <c r="F5" s="3"/>
      <c r="G5" s="3"/>
      <c r="H5" s="5"/>
      <c r="I5" s="5"/>
    </row>
    <row r="6" spans="1:9" x14ac:dyDescent="0.25">
      <c r="A6" s="1" t="s">
        <v>14</v>
      </c>
      <c r="B6">
        <v>6.4</v>
      </c>
      <c r="C6">
        <f t="shared" si="0"/>
        <v>0.40000000000000036</v>
      </c>
      <c r="D6">
        <f t="shared" si="1"/>
        <v>3.5999999999999996</v>
      </c>
      <c r="E6" s="5"/>
      <c r="F6" s="3"/>
      <c r="G6" s="3"/>
      <c r="H6" s="5"/>
      <c r="I6" s="5"/>
    </row>
    <row r="7" spans="1:9" x14ac:dyDescent="0.25">
      <c r="A7" s="1" t="s">
        <v>18</v>
      </c>
      <c r="B7">
        <v>1</v>
      </c>
      <c r="C7">
        <f t="shared" si="0"/>
        <v>0.50000000000000044</v>
      </c>
      <c r="D7">
        <f t="shared" si="1"/>
        <v>3.4999999999999996</v>
      </c>
      <c r="E7" s="5"/>
      <c r="F7" s="3"/>
      <c r="G7" s="3"/>
      <c r="H7" s="5"/>
      <c r="I7" s="5"/>
    </row>
    <row r="8" spans="1:9" x14ac:dyDescent="0.25">
      <c r="A8" s="1" t="s">
        <v>11</v>
      </c>
      <c r="B8" s="3">
        <v>400</v>
      </c>
      <c r="C8">
        <f t="shared" si="0"/>
        <v>0.60000000000000053</v>
      </c>
      <c r="D8">
        <f t="shared" si="1"/>
        <v>3.3999999999999995</v>
      </c>
      <c r="E8" s="5"/>
      <c r="F8" s="3"/>
      <c r="G8" s="3"/>
      <c r="H8" s="5"/>
      <c r="I8" s="5"/>
    </row>
    <row r="9" spans="1:9" x14ac:dyDescent="0.25">
      <c r="A9" s="1" t="s">
        <v>15</v>
      </c>
      <c r="B9" s="3">
        <v>1900</v>
      </c>
      <c r="C9">
        <f t="shared" si="0"/>
        <v>0.70000000000000062</v>
      </c>
      <c r="D9">
        <f t="shared" si="1"/>
        <v>3.2999999999999994</v>
      </c>
      <c r="E9" s="5"/>
      <c r="F9" s="3"/>
      <c r="G9" s="3"/>
      <c r="H9" s="5"/>
      <c r="I9" s="5"/>
    </row>
    <row r="10" spans="1:9" x14ac:dyDescent="0.25">
      <c r="C10">
        <f t="shared" si="0"/>
        <v>0.80000000000000071</v>
      </c>
      <c r="D10">
        <f t="shared" si="1"/>
        <v>3.1999999999999993</v>
      </c>
      <c r="E10" s="5"/>
      <c r="F10" s="3"/>
      <c r="G10" s="3"/>
      <c r="H10" s="5"/>
      <c r="I10" s="5"/>
    </row>
    <row r="11" spans="1:9" x14ac:dyDescent="0.25">
      <c r="C11">
        <f t="shared" si="0"/>
        <v>0.9000000000000008</v>
      </c>
      <c r="D11">
        <f t="shared" si="1"/>
        <v>3.0999999999999992</v>
      </c>
      <c r="E11" s="5"/>
      <c r="F11" s="3"/>
      <c r="G11" s="3"/>
      <c r="H11" s="5"/>
      <c r="I11" s="5"/>
    </row>
    <row r="12" spans="1:9" x14ac:dyDescent="0.25">
      <c r="A12" s="1" t="s">
        <v>26</v>
      </c>
      <c r="B12">
        <v>0.39</v>
      </c>
      <c r="C12">
        <f t="shared" si="0"/>
        <v>1.0000000000000009</v>
      </c>
      <c r="D12">
        <f t="shared" si="1"/>
        <v>2.9999999999999991</v>
      </c>
      <c r="E12" s="5"/>
      <c r="F12" s="3"/>
      <c r="G12" s="3"/>
      <c r="H12" s="5"/>
      <c r="I12" s="5"/>
    </row>
    <row r="13" spans="1:9" x14ac:dyDescent="0.25">
      <c r="A13" s="1" t="s">
        <v>24</v>
      </c>
      <c r="B13">
        <f xml:space="preserve"> 8.5 * POWER(10,-5)</f>
        <v>8.5000000000000006E-5</v>
      </c>
      <c r="C13">
        <f t="shared" si="0"/>
        <v>1.100000000000001</v>
      </c>
      <c r="D13">
        <f t="shared" si="1"/>
        <v>2.899999999999999</v>
      </c>
      <c r="E13" s="5"/>
      <c r="F13" s="3"/>
      <c r="G13" s="3"/>
      <c r="H13" s="5"/>
      <c r="I13" s="5"/>
    </row>
    <row r="14" spans="1:9" x14ac:dyDescent="0.25">
      <c r="A14" s="1" t="s">
        <v>3</v>
      </c>
      <c r="B14" s="6">
        <f xml:space="preserve"> I38</f>
        <v>247.74904071647819</v>
      </c>
      <c r="C14">
        <f t="shared" si="0"/>
        <v>1.2000000000000011</v>
      </c>
      <c r="D14">
        <f t="shared" si="1"/>
        <v>2.7999999999999989</v>
      </c>
      <c r="E14" s="5"/>
      <c r="F14" s="3"/>
      <c r="G14" s="3"/>
      <c r="H14" s="5"/>
      <c r="I14" s="5"/>
    </row>
    <row r="15" spans="1:9" x14ac:dyDescent="0.25">
      <c r="A15" s="1" t="s">
        <v>5</v>
      </c>
      <c r="B15" s="6">
        <f xml:space="preserve"> 900000 /365/2</f>
        <v>1232.8767123287671</v>
      </c>
      <c r="C15">
        <f t="shared" si="0"/>
        <v>1.3000000000000012</v>
      </c>
      <c r="D15">
        <f t="shared" si="1"/>
        <v>2.6999999999999988</v>
      </c>
      <c r="E15" s="5"/>
      <c r="F15" s="3"/>
      <c r="G15" s="3"/>
      <c r="H15" s="5"/>
      <c r="I15" s="5"/>
    </row>
    <row r="16" spans="1:9" x14ac:dyDescent="0.25">
      <c r="A16" s="1" t="s">
        <v>4</v>
      </c>
      <c r="B16" s="2">
        <f xml:space="preserve"> B14 / B15</f>
        <v>0.20095199969225452</v>
      </c>
      <c r="C16">
        <f t="shared" si="0"/>
        <v>1.4000000000000012</v>
      </c>
      <c r="D16">
        <f t="shared" si="1"/>
        <v>2.5999999999999988</v>
      </c>
      <c r="E16" s="5"/>
      <c r="F16" s="3"/>
      <c r="G16" s="3"/>
      <c r="H16" s="5"/>
      <c r="I16" s="5"/>
    </row>
    <row r="17" spans="1:9" x14ac:dyDescent="0.25">
      <c r="C17">
        <f t="shared" si="0"/>
        <v>1.5000000000000013</v>
      </c>
      <c r="D17">
        <f t="shared" si="1"/>
        <v>2.4999999999999987</v>
      </c>
      <c r="E17" s="5"/>
      <c r="F17" s="3"/>
      <c r="G17" s="3"/>
      <c r="H17" s="5"/>
      <c r="I17" s="5"/>
    </row>
    <row r="18" spans="1:9" x14ac:dyDescent="0.25">
      <c r="A18" s="1" t="s">
        <v>23</v>
      </c>
      <c r="B18" s="5">
        <f xml:space="preserve"> SUM(H2:H41)/60/60</f>
        <v>6.8151308052817452</v>
      </c>
      <c r="C18">
        <f t="shared" si="0"/>
        <v>1.6000000000000014</v>
      </c>
      <c r="D18">
        <f t="shared" si="1"/>
        <v>2.3999999999999986</v>
      </c>
      <c r="E18" s="5"/>
      <c r="F18" s="3"/>
      <c r="G18" s="3"/>
      <c r="H18" s="5"/>
      <c r="I18" s="5"/>
    </row>
    <row r="19" spans="1:9" x14ac:dyDescent="0.25">
      <c r="C19">
        <f t="shared" si="0"/>
        <v>1.7000000000000015</v>
      </c>
      <c r="D19">
        <f t="shared" si="1"/>
        <v>2.2999999999999985</v>
      </c>
      <c r="E19" s="5"/>
      <c r="F19" s="3"/>
      <c r="G19" s="3"/>
      <c r="H19" s="5"/>
      <c r="I19" s="5"/>
    </row>
    <row r="20" spans="1:9" x14ac:dyDescent="0.25">
      <c r="C20">
        <f t="shared" si="0"/>
        <v>1.8000000000000016</v>
      </c>
      <c r="D20">
        <f t="shared" si="1"/>
        <v>2.1999999999999984</v>
      </c>
      <c r="E20" s="5"/>
      <c r="F20" s="3"/>
      <c r="G20" s="3"/>
      <c r="H20" s="5"/>
      <c r="I20" s="5"/>
    </row>
    <row r="21" spans="1:9" x14ac:dyDescent="0.25">
      <c r="C21">
        <f t="shared" si="0"/>
        <v>1.9000000000000017</v>
      </c>
      <c r="D21">
        <f t="shared" si="1"/>
        <v>2.0999999999999983</v>
      </c>
      <c r="E21" s="5"/>
      <c r="F21" s="3"/>
      <c r="G21" s="3"/>
      <c r="H21" s="5"/>
      <c r="I21" s="5"/>
    </row>
    <row r="22" spans="1:9" x14ac:dyDescent="0.25">
      <c r="C22">
        <f t="shared" si="0"/>
        <v>2.0000000000000018</v>
      </c>
      <c r="D22">
        <f t="shared" si="1"/>
        <v>1.9999999999999982</v>
      </c>
      <c r="E22" s="5"/>
      <c r="F22" s="3"/>
      <c r="G22" s="3"/>
      <c r="H22" s="5"/>
      <c r="I22" s="5"/>
    </row>
    <row r="23" spans="1:9" x14ac:dyDescent="0.25">
      <c r="C23">
        <f t="shared" si="0"/>
        <v>2.1000000000000019</v>
      </c>
      <c r="D23">
        <f t="shared" si="1"/>
        <v>1.8999999999999981</v>
      </c>
      <c r="E23" s="5"/>
      <c r="F23" s="3"/>
      <c r="G23" s="3"/>
      <c r="H23" s="5"/>
      <c r="I23" s="5"/>
    </row>
    <row r="24" spans="1:9" x14ac:dyDescent="0.25">
      <c r="C24">
        <f t="shared" si="0"/>
        <v>2.200000000000002</v>
      </c>
      <c r="D24">
        <f t="shared" si="1"/>
        <v>1.799999999999998</v>
      </c>
      <c r="E24" s="5"/>
      <c r="F24" s="3"/>
      <c r="G24" s="3"/>
      <c r="H24" s="5"/>
      <c r="I24" s="5"/>
    </row>
    <row r="25" spans="1:9" x14ac:dyDescent="0.25">
      <c r="C25">
        <f t="shared" si="0"/>
        <v>2.300000000000002</v>
      </c>
      <c r="D25">
        <f t="shared" si="1"/>
        <v>1.699999999999998</v>
      </c>
      <c r="E25" s="5"/>
      <c r="F25" s="3"/>
      <c r="G25" s="3"/>
      <c r="H25" s="5"/>
      <c r="I25" s="5"/>
    </row>
    <row r="26" spans="1:9" x14ac:dyDescent="0.25">
      <c r="C26">
        <f t="shared" si="0"/>
        <v>2.4000000000000021</v>
      </c>
      <c r="D26">
        <f t="shared" si="1"/>
        <v>1.5999999999999979</v>
      </c>
      <c r="E26" s="5"/>
      <c r="F26" s="3"/>
      <c r="G26" s="3"/>
      <c r="H26" s="5"/>
      <c r="I26" s="5"/>
    </row>
    <row r="27" spans="1:9" x14ac:dyDescent="0.25">
      <c r="C27">
        <f t="shared" si="0"/>
        <v>2.5000000000000022</v>
      </c>
      <c r="D27">
        <f t="shared" si="1"/>
        <v>1.4999999999999978</v>
      </c>
      <c r="E27" s="5"/>
      <c r="F27" s="3"/>
      <c r="G27" s="3"/>
      <c r="H27" s="5"/>
      <c r="I27" s="5"/>
    </row>
    <row r="28" spans="1:9" x14ac:dyDescent="0.25">
      <c r="C28">
        <f t="shared" si="0"/>
        <v>2.6000000000000023</v>
      </c>
      <c r="D28">
        <f t="shared" si="1"/>
        <v>1.3999999999999977</v>
      </c>
      <c r="E28" s="5"/>
      <c r="F28" s="3"/>
      <c r="G28" s="3"/>
      <c r="H28" s="5"/>
      <c r="I28" s="5"/>
    </row>
    <row r="29" spans="1:9" x14ac:dyDescent="0.25">
      <c r="C29">
        <f t="shared" si="0"/>
        <v>2.7000000000000024</v>
      </c>
      <c r="D29">
        <f t="shared" si="1"/>
        <v>1.2999999999999976</v>
      </c>
      <c r="E29" s="5"/>
      <c r="F29" s="3"/>
      <c r="G29" s="3"/>
      <c r="H29" s="5"/>
      <c r="I29" s="5"/>
    </row>
    <row r="30" spans="1:9" x14ac:dyDescent="0.25">
      <c r="C30">
        <f t="shared" si="0"/>
        <v>2.8000000000000025</v>
      </c>
      <c r="D30">
        <f t="shared" si="1"/>
        <v>1.1999999999999975</v>
      </c>
      <c r="E30" s="5"/>
      <c r="F30" s="3"/>
      <c r="G30" s="3"/>
      <c r="H30" s="5"/>
      <c r="I30" s="5"/>
    </row>
    <row r="31" spans="1:9" x14ac:dyDescent="0.25">
      <c r="C31">
        <f t="shared" si="0"/>
        <v>2.9000000000000026</v>
      </c>
      <c r="D31">
        <f t="shared" si="1"/>
        <v>1.0999999999999974</v>
      </c>
      <c r="E31" s="5"/>
      <c r="F31" s="3"/>
      <c r="G31" s="3"/>
      <c r="H31" s="5"/>
      <c r="I31" s="5"/>
    </row>
    <row r="32" spans="1:9" x14ac:dyDescent="0.25">
      <c r="C32">
        <f t="shared" si="0"/>
        <v>3.0000000000000027</v>
      </c>
      <c r="D32">
        <f t="shared" si="1"/>
        <v>0.99999999999999745</v>
      </c>
      <c r="E32" s="5"/>
      <c r="F32" s="3"/>
      <c r="G32" s="3"/>
      <c r="H32" s="5"/>
      <c r="I32" s="5"/>
    </row>
    <row r="33" spans="3:9" x14ac:dyDescent="0.25">
      <c r="C33">
        <f t="shared" si="0"/>
        <v>3.1000000000000023</v>
      </c>
      <c r="D33">
        <f t="shared" si="1"/>
        <v>0.89999999999999747</v>
      </c>
      <c r="E33" s="5"/>
      <c r="F33" s="3"/>
      <c r="G33" s="3"/>
      <c r="H33" s="5"/>
      <c r="I33" s="5"/>
    </row>
    <row r="34" spans="3:9" x14ac:dyDescent="0.25">
      <c r="C34">
        <f t="shared" si="0"/>
        <v>3.2000000000000024</v>
      </c>
      <c r="D34">
        <f t="shared" si="1"/>
        <v>0.79999999999999749</v>
      </c>
      <c r="E34" s="5"/>
      <c r="F34" s="3"/>
      <c r="G34" s="3"/>
      <c r="H34" s="5"/>
      <c r="I34" s="5"/>
    </row>
    <row r="35" spans="3:9" x14ac:dyDescent="0.25">
      <c r="C35">
        <f t="shared" si="0"/>
        <v>3.3000000000000025</v>
      </c>
      <c r="D35">
        <f t="shared" si="1"/>
        <v>0.69999999999999751</v>
      </c>
      <c r="E35" s="5"/>
      <c r="F35" s="3"/>
      <c r="G35" s="3"/>
      <c r="H35" s="5"/>
      <c r="I35" s="5"/>
    </row>
    <row r="36" spans="3:9" x14ac:dyDescent="0.25">
      <c r="C36">
        <f t="shared" si="0"/>
        <v>3.4000000000000026</v>
      </c>
      <c r="D36">
        <f t="shared" si="1"/>
        <v>0.59999999999999754</v>
      </c>
      <c r="E36" s="5"/>
      <c r="F36" s="3"/>
      <c r="G36" s="3"/>
      <c r="H36" s="5"/>
      <c r="I36" s="5"/>
    </row>
    <row r="37" spans="3:9" x14ac:dyDescent="0.25">
      <c r="C37">
        <f t="shared" si="0"/>
        <v>3.5000000000000027</v>
      </c>
      <c r="D37">
        <f t="shared" si="1"/>
        <v>0.49999999999999756</v>
      </c>
      <c r="E37" s="5"/>
      <c r="F37" s="3"/>
      <c r="G37" s="3"/>
      <c r="H37" s="5"/>
      <c r="I37" s="5"/>
    </row>
    <row r="38" spans="3:9" x14ac:dyDescent="0.25">
      <c r="C38">
        <f t="shared" si="0"/>
        <v>3.6000000000000023</v>
      </c>
      <c r="D38">
        <f t="shared" si="1"/>
        <v>0.39999999999999758</v>
      </c>
      <c r="E38" s="5">
        <f xml:space="preserve"> B$13 * D38 / B$7 * B$8 * B$9</f>
        <v>25.839999999999844</v>
      </c>
      <c r="F38" s="3">
        <f t="shared" ref="F38:F41" si="2" xml:space="preserve"> $D38 * $B$8 * $B$9 + $D38 / $B$3 * ($B$8 + $B$9)</f>
        <v>305593.48674296151</v>
      </c>
      <c r="G38" s="3">
        <f t="shared" ref="G38:G41" si="3" xml:space="preserve">  $B$4 * $B$8 * $B$9 + $D38 / $B$3 * $B$4 * ($B$8 + $B$9)</f>
        <v>76159.348674296329</v>
      </c>
      <c r="H38" s="5">
        <f t="shared" ref="H38:H41" si="4" xml:space="preserve"> G38 / E38</f>
        <v>2947.3432149495661</v>
      </c>
      <c r="I38" s="5">
        <f t="shared" ref="I38:I41" si="5" xml:space="preserve"> F38 /  1233.48</f>
        <v>247.74904071647819</v>
      </c>
    </row>
    <row r="39" spans="3:9" x14ac:dyDescent="0.25">
      <c r="C39">
        <f t="shared" si="0"/>
        <v>3.7000000000000024</v>
      </c>
      <c r="D39">
        <f t="shared" si="1"/>
        <v>0.2999999999999976</v>
      </c>
      <c r="E39" s="5">
        <f xml:space="preserve"> B$13 * D39 / B$7 * B$8 * B$9</f>
        <v>19.379999999999846</v>
      </c>
      <c r="F39" s="3">
        <f t="shared" si="2"/>
        <v>229195.11505722068</v>
      </c>
      <c r="G39" s="3">
        <f t="shared" si="3"/>
        <v>76119.511505722257</v>
      </c>
      <c r="H39" s="5">
        <f t="shared" si="4"/>
        <v>3927.735371812325</v>
      </c>
      <c r="I39" s="5">
        <f t="shared" si="5"/>
        <v>185.81178053735826</v>
      </c>
    </row>
    <row r="40" spans="3:9" x14ac:dyDescent="0.25">
      <c r="C40">
        <f t="shared" si="0"/>
        <v>3.8000000000000025</v>
      </c>
      <c r="D40">
        <f t="shared" si="1"/>
        <v>0.1999999999999976</v>
      </c>
      <c r="E40" s="5">
        <f xml:space="preserve"> B$13 * D40 / B$7 * B$8 * B$9</f>
        <v>12.919999999999845</v>
      </c>
      <c r="F40" s="3">
        <f t="shared" si="2"/>
        <v>152796.74337147985</v>
      </c>
      <c r="G40" s="3">
        <f t="shared" si="3"/>
        <v>76079.674337148172</v>
      </c>
      <c r="H40" s="5">
        <f t="shared" si="4"/>
        <v>5888.5196855378545</v>
      </c>
      <c r="I40" s="5">
        <f t="shared" si="5"/>
        <v>123.87452035823836</v>
      </c>
    </row>
    <row r="41" spans="3:9" x14ac:dyDescent="0.25">
      <c r="C41">
        <f t="shared" si="0"/>
        <v>3.9000000000000026</v>
      </c>
      <c r="D41">
        <f t="shared" si="1"/>
        <v>9.9999999999997591E-2</v>
      </c>
      <c r="E41" s="5">
        <f xml:space="preserve"> B$13 * D41 / B$7 * B$8 * B$9</f>
        <v>6.4599999999998454</v>
      </c>
      <c r="F41" s="3">
        <f t="shared" si="2"/>
        <v>76398.371685738995</v>
      </c>
      <c r="G41" s="3">
        <f t="shared" si="3"/>
        <v>76039.837168574086</v>
      </c>
      <c r="H41" s="5">
        <f t="shared" si="4"/>
        <v>11770.872626714536</v>
      </c>
      <c r="I41" s="5">
        <f t="shared" si="5"/>
        <v>61.937260179118425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0" sqref="B10"/>
    </sheetView>
  </sheetViews>
  <sheetFormatPr defaultRowHeight="15" x14ac:dyDescent="0.25"/>
  <cols>
    <col min="1" max="1" width="18.42578125" customWidth="1"/>
    <col min="2" max="2" width="11.7109375" bestFit="1" customWidth="1"/>
  </cols>
  <sheetData>
    <row r="1" spans="1:3" x14ac:dyDescent="0.25">
      <c r="A1" t="s">
        <v>6</v>
      </c>
      <c r="B1" s="3">
        <v>900000</v>
      </c>
      <c r="C1" t="s">
        <v>7</v>
      </c>
    </row>
    <row r="2" spans="1:3" x14ac:dyDescent="0.25">
      <c r="A2" t="s">
        <v>8</v>
      </c>
      <c r="B2" s="4">
        <f xml:space="preserve"> B1 /365</f>
        <v>2465.7534246575342</v>
      </c>
      <c r="C2" t="s">
        <v>9</v>
      </c>
    </row>
    <row r="3" spans="1:3" ht="17.25" x14ac:dyDescent="0.25">
      <c r="A3" t="s">
        <v>8</v>
      </c>
      <c r="B3" s="3">
        <f xml:space="preserve"> B2 * 1233.48</f>
        <v>3041457.5342465756</v>
      </c>
      <c r="C3" t="s">
        <v>10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15EAC2019B624CB5B24CF9FF2800B8" ma:contentTypeVersion="12" ma:contentTypeDescription="Create a new document." ma:contentTypeScope="" ma:versionID="95efd9c7d094caec76dfff43f0203ee8">
  <xsd:schema xmlns:xsd="http://www.w3.org/2001/XMLSchema" xmlns:xs="http://www.w3.org/2001/XMLSchema" xmlns:p="http://schemas.microsoft.com/office/2006/metadata/properties" xmlns:ns2="c67f01ef-52a7-44e9-8f2a-d94dec3f814f" xmlns:ns3="bbce72e2-4278-4548-8ef4-8ad0fc682cbb" targetNamespace="http://schemas.microsoft.com/office/2006/metadata/properties" ma:root="true" ma:fieldsID="0768b88caf2e382bd0e7b33f2a6b2063" ns2:_="" ns3:_="">
    <xsd:import namespace="c67f01ef-52a7-44e9-8f2a-d94dec3f814f"/>
    <xsd:import namespace="bbce72e2-4278-4548-8ef4-8ad0fc682c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f01ef-52a7-44e9-8f2a-d94dec3f8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e72e2-4278-4548-8ef4-8ad0fc682c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E15FA8-746A-45A2-BF8D-D4ECC59C0257}"/>
</file>

<file path=customXml/itemProps2.xml><?xml version="1.0" encoding="utf-8"?>
<ds:datastoreItem xmlns:ds="http://schemas.openxmlformats.org/officeDocument/2006/customXml" ds:itemID="{3575A9BA-FB5E-40DB-AF09-9AEC45A9A92E}"/>
</file>

<file path=customXml/itemProps3.xml><?xml version="1.0" encoding="utf-8"?>
<ds:datastoreItem xmlns:ds="http://schemas.openxmlformats.org/officeDocument/2006/customXml" ds:itemID="{DAF48475-6248-4B11-8E6A-FC45C1D8AF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Pond Construction Costs</vt:lpstr>
      <vt:lpstr>Sand Filter Pond High Tide 1 </vt:lpstr>
      <vt:lpstr>Sand Filter Pond High Tide 2</vt:lpstr>
      <vt:lpstr>Sand Filter Pond High Tide  3</vt:lpstr>
      <vt:lpstr>Sand Filter Pond High Tide  4</vt:lpstr>
      <vt:lpstr>Target Flow Rates</vt:lpstr>
      <vt:lpstr>'Pond Construction Costs'!Print_Area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Sephton</dc:creator>
  <cp:lastModifiedBy>Tom Sephton</cp:lastModifiedBy>
  <dcterms:created xsi:type="dcterms:W3CDTF">2021-10-06T05:19:48Z</dcterms:created>
  <dcterms:modified xsi:type="dcterms:W3CDTF">2021-10-09T07:01:24Z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0x0101002415EAC2019B624CB5B24CF9FF2800B8</vt:lpwstr>
  </property>
</Properties>
</file>