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Sephton.SOS-L-004\SaltonSea\Proposals2021\WISER\"/>
    </mc:Choice>
  </mc:AlternateContent>
  <bookViews>
    <workbookView xWindow="10695" yWindow="6240" windowWidth="16350" windowHeight="8190" tabRatio="470" activeTab="1"/>
  </bookViews>
  <sheets>
    <sheet name="Water Import Concept A" sheetId="2" r:id="rId1"/>
    <sheet name="Water Import Concept B" sheetId="1" r:id="rId2"/>
  </sheets>
  <calcPr calcId="152511"/>
</workbook>
</file>

<file path=xl/calcChain.xml><?xml version="1.0" encoding="utf-8"?>
<calcChain xmlns="http://schemas.openxmlformats.org/spreadsheetml/2006/main">
  <c r="B101" i="1" l="1"/>
  <c r="B64" i="1"/>
  <c r="B65" i="1" s="1"/>
  <c r="B69" i="1"/>
  <c r="B93" i="1"/>
  <c r="B93" i="2"/>
  <c r="B69" i="2"/>
  <c r="B64" i="2"/>
  <c r="B65" i="2" s="1"/>
  <c r="B47" i="2"/>
  <c r="B42" i="2"/>
  <c r="B43" i="2" s="1"/>
  <c r="B48" i="2" s="1"/>
  <c r="B39" i="2"/>
  <c r="B37" i="2"/>
  <c r="B34" i="2"/>
  <c r="B18" i="2"/>
  <c r="B19" i="2" s="1"/>
  <c r="B10" i="2"/>
  <c r="B56" i="2" s="1"/>
  <c r="B57" i="2" s="1"/>
  <c r="B8" i="2"/>
  <c r="B7" i="2"/>
  <c r="B6" i="2"/>
  <c r="D57" i="2" l="1"/>
  <c r="B61" i="2"/>
  <c r="B70" i="2" s="1"/>
  <c r="B59" i="2"/>
  <c r="B101" i="2" s="1"/>
  <c r="B104" i="2" s="1"/>
  <c r="B51" i="2"/>
  <c r="B52" i="2" s="1"/>
  <c r="B96" i="2"/>
  <c r="B99" i="2" s="1"/>
  <c r="B49" i="2"/>
  <c r="B11" i="2"/>
  <c r="B42" i="1"/>
  <c r="B72" i="2" l="1"/>
  <c r="B74" i="2" s="1"/>
  <c r="B88" i="2"/>
  <c r="B91" i="2" s="1"/>
  <c r="B71" i="2"/>
  <c r="B79" i="2" s="1"/>
  <c r="B94" i="2"/>
  <c r="B77" i="2"/>
  <c r="B78" i="2" s="1"/>
  <c r="B83" i="2"/>
  <c r="B15" i="2"/>
  <c r="B21" i="2" s="1"/>
  <c r="B13" i="2"/>
  <c r="B37" i="1"/>
  <c r="B6" i="1"/>
  <c r="B7" i="1"/>
  <c r="B8" i="1"/>
  <c r="B10" i="1" s="1"/>
  <c r="B11" i="1" s="1"/>
  <c r="B18" i="1"/>
  <c r="B19" i="1" s="1"/>
  <c r="B34" i="1"/>
  <c r="B57" i="1" s="1"/>
  <c r="B39" i="1"/>
  <c r="B43" i="1"/>
  <c r="B47" i="1"/>
  <c r="D57" i="1" l="1"/>
  <c r="B59" i="1"/>
  <c r="B104" i="1" s="1"/>
  <c r="B61" i="1"/>
  <c r="B70" i="1" s="1"/>
  <c r="B94" i="1" s="1"/>
  <c r="B48" i="1"/>
  <c r="B51" i="1" s="1"/>
  <c r="B52" i="1" s="1"/>
  <c r="B15" i="1"/>
  <c r="B21" i="1" s="1"/>
  <c r="B27" i="1" s="1"/>
  <c r="B28" i="1" s="1"/>
  <c r="B13" i="1"/>
  <c r="B86" i="2"/>
  <c r="B105" i="2" s="1"/>
  <c r="B109" i="2"/>
  <c r="B110" i="2" s="1"/>
  <c r="B22" i="2"/>
  <c r="B24" i="2" s="1"/>
  <c r="B27" i="2"/>
  <c r="B28" i="2" s="1"/>
  <c r="B72" i="1" l="1"/>
  <c r="B74" i="1" s="1"/>
  <c r="B86" i="1"/>
  <c r="B77" i="1"/>
  <c r="B78" i="1" s="1"/>
  <c r="B91" i="1"/>
  <c r="B71" i="1"/>
  <c r="B79" i="1" s="1"/>
  <c r="B96" i="1"/>
  <c r="B99" i="1" s="1"/>
  <c r="B49" i="1"/>
  <c r="B22" i="1"/>
  <c r="B24" i="1" s="1"/>
  <c r="B107" i="2"/>
  <c r="B109" i="1" l="1"/>
  <c r="B110" i="1" s="1"/>
  <c r="B105" i="1"/>
  <c r="B107" i="1" s="1"/>
</calcChain>
</file>

<file path=xl/sharedStrings.xml><?xml version="1.0" encoding="utf-8"?>
<sst xmlns="http://schemas.openxmlformats.org/spreadsheetml/2006/main" count="388" uniqueCount="108">
  <si>
    <t>Canal width</t>
  </si>
  <si>
    <t>ft</t>
  </si>
  <si>
    <t>Canal apex elevation</t>
  </si>
  <si>
    <t>Canal depth</t>
  </si>
  <si>
    <t>Canal exposed length</t>
  </si>
  <si>
    <t>miles</t>
  </si>
  <si>
    <t>Canal capacity</t>
  </si>
  <si>
    <t>AF</t>
  </si>
  <si>
    <t>Avg Annual Precipitation Inflow Rate</t>
  </si>
  <si>
    <t>AF/yr</t>
  </si>
  <si>
    <t>Avg Annual Evaporation Rate</t>
  </si>
  <si>
    <t>in/yr</t>
  </si>
  <si>
    <t>Net Avg Annual Canal Balance</t>
  </si>
  <si>
    <t>Avg Daily Flow Rate</t>
  </si>
  <si>
    <t>AF/day</t>
  </si>
  <si>
    <t>constant</t>
  </si>
  <si>
    <t>gal/AF</t>
  </si>
  <si>
    <t>Flow Rate (gpm)</t>
  </si>
  <si>
    <t>gpm</t>
  </si>
  <si>
    <t>cu-m/AF</t>
  </si>
  <si>
    <t>Flow Rate</t>
  </si>
  <si>
    <t>cu-m/s</t>
  </si>
  <si>
    <t>Sea Water Density</t>
  </si>
  <si>
    <t>kg/cu-m</t>
  </si>
  <si>
    <t>Acceleration of gravity</t>
  </si>
  <si>
    <t>m/sq-s</t>
  </si>
  <si>
    <t>Head Pressure</t>
  </si>
  <si>
    <t>m</t>
  </si>
  <si>
    <t>Archimedes Screw Turbine Efficiency</t>
  </si>
  <si>
    <t>Power from Water</t>
  </si>
  <si>
    <t>Watts</t>
  </si>
  <si>
    <t>Peak Flow Rate</t>
  </si>
  <si>
    <t>Hours per day</t>
  </si>
  <si>
    <t>hr</t>
  </si>
  <si>
    <t>Daily Flow Rate</t>
  </si>
  <si>
    <t>System Availability</t>
  </si>
  <si>
    <t>Power Sales Rate</t>
  </si>
  <si>
    <t>$/kWh</t>
  </si>
  <si>
    <t>Revenue loss while evaporating</t>
  </si>
  <si>
    <t>$/hr</t>
  </si>
  <si>
    <t>Annual Hydro Power Evaporation Loss</t>
  </si>
  <si>
    <t>$/yr</t>
  </si>
  <si>
    <t>Daily Seawater Pump Up Rate</t>
  </si>
  <si>
    <t>Seawater Salinity Sea of Cortez</t>
  </si>
  <si>
    <t>ppm TDS</t>
  </si>
  <si>
    <t>Annual Seawater Pump Up Rate</t>
  </si>
  <si>
    <t>Pumping Hours per day</t>
  </si>
  <si>
    <t>Pump Up Flow Rate</t>
  </si>
  <si>
    <t>Seawater Density</t>
  </si>
  <si>
    <t xml:space="preserve">Pump Head </t>
  </si>
  <si>
    <t>Archimedes Screw Pump Efficiency</t>
  </si>
  <si>
    <t>%</t>
  </si>
  <si>
    <t>Generator Efficiency</t>
  </si>
  <si>
    <t>Gearbox Efficiency</t>
  </si>
  <si>
    <t>Net Efficiency</t>
  </si>
  <si>
    <t>Power to Lift Water</t>
  </si>
  <si>
    <t>MW</t>
  </si>
  <si>
    <t>Pump Up Power Rate</t>
  </si>
  <si>
    <t>Cost to Lift Water</t>
  </si>
  <si>
    <t>Annual Power Cost to Lift Seawater</t>
  </si>
  <si>
    <t>Annual Hydro Recovery Rate</t>
  </si>
  <si>
    <t>Avg Daily Hydro Recovery Rate</t>
  </si>
  <si>
    <t>Canal Flow Rate (gpm)</t>
  </si>
  <si>
    <t>Operating Hours per day</t>
  </si>
  <si>
    <t>Power Rate</t>
  </si>
  <si>
    <t>Revenue while running</t>
  </si>
  <si>
    <t>Annual Hydro Recovery Revenue</t>
  </si>
  <si>
    <t>Net Power Output</t>
  </si>
  <si>
    <t>Unit Cost of Turbine Generators</t>
  </si>
  <si>
    <t>$/kW</t>
  </si>
  <si>
    <t>Capital Cost of Turbine Generators</t>
  </si>
  <si>
    <t>$</t>
  </si>
  <si>
    <t>Life of Turbine Generators</t>
  </si>
  <si>
    <t>yrs</t>
  </si>
  <si>
    <t>O&amp;M Cost of Turbine Generators</t>
  </si>
  <si>
    <t>Amortized Cost of Turbine Generators</t>
  </si>
  <si>
    <t>Cost of Spillways</t>
  </si>
  <si>
    <t>Capital Cost of Spillways</t>
  </si>
  <si>
    <t>Life of Spillways</t>
  </si>
  <si>
    <t>O&amp;M Cost of Spillways</t>
  </si>
  <si>
    <t>Amortized Cost of Spillways</t>
  </si>
  <si>
    <t>Cost of Power Transmission</t>
  </si>
  <si>
    <t>$/kW-month</t>
  </si>
  <si>
    <t>Annual Cost of Power Transmission</t>
  </si>
  <si>
    <t>Unit Cost of Pump Screws</t>
  </si>
  <si>
    <t>Capital Cost of Pump Screws</t>
  </si>
  <si>
    <t>Life of Pump Screws</t>
  </si>
  <si>
    <t>O&amp;M Cost of Pump Screws</t>
  </si>
  <si>
    <t>Amortized Cost of Pump Screws</t>
  </si>
  <si>
    <t>Unit Cost of Seawater Pump Motors</t>
  </si>
  <si>
    <t>$/kGPM</t>
  </si>
  <si>
    <t>Capital Cost of Seawater Pump Motors</t>
  </si>
  <si>
    <t>Life of Seawater Pump Motor</t>
  </si>
  <si>
    <t>O&amp;M Cost of Seawater Pump Motors</t>
  </si>
  <si>
    <t>Amortized Cost of Seawater Pump Motors</t>
  </si>
  <si>
    <t>Total Annual Cost</t>
  </si>
  <si>
    <t>Evaporation Losses from Canal</t>
  </si>
  <si>
    <t>Pump Up Calculation</t>
  </si>
  <si>
    <t>Energy Recovery Calculation</t>
  </si>
  <si>
    <t>Cost and Revenue Calculation</t>
  </si>
  <si>
    <t>feet</t>
  </si>
  <si>
    <t>Pump head needed for canal drop</t>
  </si>
  <si>
    <t>Drop subtracted for canal flow</t>
  </si>
  <si>
    <t>Net Revenue less cost</t>
  </si>
  <si>
    <t>Total Capital Cost (pumps,turbines 2013)</t>
  </si>
  <si>
    <t>Total Capital Cost (pumps,turbines 2021)</t>
  </si>
  <si>
    <t>Total Capital Cost (pumps 2013)</t>
  </si>
  <si>
    <t>Total Capital Cost (pumps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</si>
</sst>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000"/>
    <numFmt numFmtId="166" formatCode="#,##0.00000"/>
    <numFmt numFmtId="167" formatCode="0.0"/>
    <numFmt numFmtId="168" formatCode="0.0000"/>
    <numFmt numFmtId="169" formatCode="&quot;$&quot;#,##0"/>
  </numFmts>
  <fonts count="3" x14ac:knownFonts="1">
    <font>
      <sz val="10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3"/>
      </patternFill>
    </fill>
    <fill>
      <patternFill patternType="solid">
        <fgColor indexed="11"/>
        <bgColor indexed="49"/>
      </patternFill>
    </fill>
    <fill>
      <patternFill patternType="solid">
        <fgColor indexed="49"/>
        <bgColor indexed="57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164" fontId="0" fillId="3" borderId="0" xfId="0" applyNumberFormat="1" applyFill="1"/>
    <xf numFmtId="164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4" fontId="0" fillId="0" borderId="0" xfId="0" applyNumberFormat="1"/>
    <xf numFmtId="165" fontId="0" fillId="0" borderId="0" xfId="0" applyNumberFormat="1"/>
    <xf numFmtId="3" fontId="0" fillId="3" borderId="0" xfId="0" applyNumberFormat="1" applyFill="1"/>
    <xf numFmtId="2" fontId="0" fillId="0" borderId="0" xfId="0" applyNumberFormat="1" applyFill="1"/>
    <xf numFmtId="2" fontId="0" fillId="0" borderId="0" xfId="0" applyNumberFormat="1"/>
    <xf numFmtId="9" fontId="0" fillId="3" borderId="0" xfId="0" applyNumberFormat="1" applyFill="1"/>
    <xf numFmtId="166" fontId="0" fillId="0" borderId="0" xfId="0" applyNumberFormat="1"/>
    <xf numFmtId="167" fontId="0" fillId="0" borderId="0" xfId="0" applyNumberFormat="1"/>
    <xf numFmtId="4" fontId="0" fillId="3" borderId="0" xfId="0" applyNumberFormat="1" applyFill="1"/>
    <xf numFmtId="2" fontId="0" fillId="3" borderId="0" xfId="0" applyNumberFormat="1" applyFill="1"/>
    <xf numFmtId="9" fontId="0" fillId="0" borderId="0" xfId="0" applyNumberFormat="1" applyFill="1"/>
    <xf numFmtId="4" fontId="0" fillId="4" borderId="0" xfId="0" applyNumberFormat="1" applyFill="1"/>
    <xf numFmtId="0" fontId="0" fillId="3" borderId="0" xfId="0" applyFill="1"/>
    <xf numFmtId="4" fontId="0" fillId="5" borderId="0" xfId="0" applyNumberFormat="1" applyFill="1"/>
    <xf numFmtId="1" fontId="0" fillId="0" borderId="0" xfId="0" applyNumberFormat="1"/>
    <xf numFmtId="164" fontId="0" fillId="6" borderId="0" xfId="0" applyNumberFormat="1" applyFill="1"/>
    <xf numFmtId="1" fontId="0" fillId="3" borderId="0" xfId="0" applyNumberFormat="1" applyFill="1"/>
    <xf numFmtId="168" fontId="0" fillId="0" borderId="0" xfId="0" applyNumberFormat="1" applyFill="1"/>
    <xf numFmtId="0" fontId="0" fillId="0" borderId="0" xfId="0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2" fillId="9" borderId="0" xfId="0" applyFont="1" applyFill="1"/>
    <xf numFmtId="0" fontId="0" fillId="9" borderId="0" xfId="0" applyFill="1"/>
    <xf numFmtId="0" fontId="2" fillId="7" borderId="0" xfId="0" applyFont="1" applyFill="1"/>
    <xf numFmtId="0" fontId="2" fillId="10" borderId="0" xfId="0" applyFont="1" applyFill="1"/>
    <xf numFmtId="0" fontId="0" fillId="10" borderId="0" xfId="0" applyFill="1"/>
    <xf numFmtId="169" fontId="0" fillId="0" borderId="0" xfId="0" applyNumberFormat="1"/>
    <xf numFmtId="0" fontId="0" fillId="7" borderId="0" xfId="0" applyFont="1" applyFill="1"/>
    <xf numFmtId="0" fontId="0" fillId="9" borderId="0" xfId="0" applyFont="1" applyFill="1"/>
  </cellXfs>
  <cellStyles count="2">
    <cellStyle name="Excel_BuiltIn_Bad 1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87" zoomScale="110" zoomScaleNormal="110" workbookViewId="0">
      <selection activeCell="E102" sqref="E102"/>
    </sheetView>
  </sheetViews>
  <sheetFormatPr defaultRowHeight="12.75" x14ac:dyDescent="0.2"/>
  <cols>
    <col min="1" max="1" width="35.42578125" customWidth="1"/>
    <col min="2" max="2" width="17" customWidth="1"/>
    <col min="3" max="3" width="11.140625" customWidth="1"/>
  </cols>
  <sheetData>
    <row r="1" spans="1:8" x14ac:dyDescent="0.2">
      <c r="A1" s="26" t="s">
        <v>96</v>
      </c>
    </row>
    <row r="2" spans="1:8" x14ac:dyDescent="0.2">
      <c r="A2" s="25" t="s">
        <v>0</v>
      </c>
      <c r="B2" s="1">
        <v>30</v>
      </c>
      <c r="C2" t="s">
        <v>1</v>
      </c>
    </row>
    <row r="3" spans="1:8" x14ac:dyDescent="0.2">
      <c r="A3" s="25" t="s">
        <v>2</v>
      </c>
      <c r="B3" s="1">
        <v>305</v>
      </c>
      <c r="C3" t="s">
        <v>1</v>
      </c>
    </row>
    <row r="4" spans="1:8" x14ac:dyDescent="0.2">
      <c r="A4" s="25" t="s">
        <v>3</v>
      </c>
      <c r="B4" s="1">
        <v>12</v>
      </c>
      <c r="C4" t="s">
        <v>1</v>
      </c>
    </row>
    <row r="5" spans="1:8" x14ac:dyDescent="0.2">
      <c r="A5" s="25" t="s">
        <v>4</v>
      </c>
      <c r="B5" s="1">
        <v>150</v>
      </c>
      <c r="C5" t="s">
        <v>5</v>
      </c>
    </row>
    <row r="6" spans="1:8" x14ac:dyDescent="0.2">
      <c r="A6" s="25" t="s">
        <v>4</v>
      </c>
      <c r="B6" s="2">
        <f>B5*5280</f>
        <v>792000</v>
      </c>
      <c r="C6" t="s">
        <v>1</v>
      </c>
    </row>
    <row r="7" spans="1:8" x14ac:dyDescent="0.2">
      <c r="A7" s="25" t="s">
        <v>6</v>
      </c>
      <c r="B7" s="2">
        <f>B2*B4*B5</f>
        <v>54000</v>
      </c>
      <c r="C7" t="s">
        <v>7</v>
      </c>
    </row>
    <row r="8" spans="1:8" x14ac:dyDescent="0.2">
      <c r="A8" s="25" t="s">
        <v>8</v>
      </c>
      <c r="B8" s="2">
        <f>3/12*B2</f>
        <v>7.5</v>
      </c>
      <c r="C8" t="s">
        <v>9</v>
      </c>
      <c r="E8" s="3"/>
      <c r="H8" s="3"/>
    </row>
    <row r="9" spans="1:8" x14ac:dyDescent="0.2">
      <c r="A9" s="25" t="s">
        <v>10</v>
      </c>
      <c r="B9" s="3">
        <v>68</v>
      </c>
      <c r="C9" t="s">
        <v>11</v>
      </c>
    </row>
    <row r="10" spans="1:8" x14ac:dyDescent="0.2">
      <c r="A10" s="25" t="s">
        <v>12</v>
      </c>
      <c r="B10" s="3">
        <f>B8-(B2*B5*B9/12)</f>
        <v>-25492.5</v>
      </c>
      <c r="C10" t="s">
        <v>9</v>
      </c>
    </row>
    <row r="11" spans="1:8" x14ac:dyDescent="0.2">
      <c r="A11" s="25" t="s">
        <v>13</v>
      </c>
      <c r="B11" s="2">
        <f>B10/325</f>
        <v>-78.438461538461539</v>
      </c>
      <c r="C11" t="s">
        <v>14</v>
      </c>
    </row>
    <row r="12" spans="1:8" hidden="1" x14ac:dyDescent="0.2">
      <c r="A12" s="25" t="s">
        <v>15</v>
      </c>
      <c r="B12" s="4">
        <v>325851</v>
      </c>
      <c r="C12" t="s">
        <v>16</v>
      </c>
    </row>
    <row r="13" spans="1:8" x14ac:dyDescent="0.2">
      <c r="A13" s="25" t="s">
        <v>17</v>
      </c>
      <c r="B13" s="5">
        <f>B11*B12/B23/60</f>
        <v>-17749.479951923076</v>
      </c>
      <c r="C13" t="s">
        <v>18</v>
      </c>
    </row>
    <row r="14" spans="1:8" hidden="1" x14ac:dyDescent="0.2">
      <c r="A14" s="25" t="s">
        <v>15</v>
      </c>
      <c r="B14" s="5">
        <v>1233.489</v>
      </c>
      <c r="C14" t="s">
        <v>19</v>
      </c>
    </row>
    <row r="15" spans="1:8" hidden="1" x14ac:dyDescent="0.2">
      <c r="A15" s="25" t="s">
        <v>20</v>
      </c>
      <c r="B15" s="6">
        <f>B11*B14/B23/60/60</f>
        <v>-1.1198261514423076</v>
      </c>
      <c r="C15" t="s">
        <v>21</v>
      </c>
    </row>
    <row r="16" spans="1:8" hidden="1" x14ac:dyDescent="0.2">
      <c r="A16" s="25" t="s">
        <v>22</v>
      </c>
      <c r="B16" s="7">
        <v>1020</v>
      </c>
      <c r="C16" t="s">
        <v>23</v>
      </c>
    </row>
    <row r="17" spans="1:3" hidden="1" x14ac:dyDescent="0.2">
      <c r="A17" s="25" t="s">
        <v>24</v>
      </c>
      <c r="B17">
        <v>9.8066499999999994</v>
      </c>
      <c r="C17" t="s">
        <v>25</v>
      </c>
    </row>
    <row r="18" spans="1:3" hidden="1" x14ac:dyDescent="0.2">
      <c r="A18" s="25" t="s">
        <v>26</v>
      </c>
      <c r="B18" s="8">
        <f xml:space="preserve"> B3</f>
        <v>305</v>
      </c>
      <c r="C18" t="s">
        <v>1</v>
      </c>
    </row>
    <row r="19" spans="1:3" hidden="1" x14ac:dyDescent="0.2">
      <c r="A19" s="25" t="s">
        <v>26</v>
      </c>
      <c r="B19" s="9">
        <f>B18*0.3048</f>
        <v>92.963999999999999</v>
      </c>
      <c r="C19" t="s">
        <v>27</v>
      </c>
    </row>
    <row r="20" spans="1:3" hidden="1" x14ac:dyDescent="0.2">
      <c r="A20" s="25" t="s">
        <v>28</v>
      </c>
      <c r="B20" s="10">
        <v>0.85</v>
      </c>
    </row>
    <row r="21" spans="1:3" hidden="1" x14ac:dyDescent="0.2">
      <c r="A21" s="25" t="s">
        <v>29</v>
      </c>
      <c r="B21" s="5">
        <f>B20*B16*B17*B19*B15</f>
        <v>-885126.16799061815</v>
      </c>
      <c r="C21" t="s">
        <v>30</v>
      </c>
    </row>
    <row r="22" spans="1:3" hidden="1" x14ac:dyDescent="0.2">
      <c r="A22" s="25" t="s">
        <v>31</v>
      </c>
      <c r="B22" s="11">
        <f>B21/(B16*B17*B19*B20)</f>
        <v>-1.1198261514423076</v>
      </c>
      <c r="C22" t="s">
        <v>21</v>
      </c>
    </row>
    <row r="23" spans="1:3" hidden="1" x14ac:dyDescent="0.2">
      <c r="A23" s="25" t="s">
        <v>32</v>
      </c>
      <c r="B23" s="7">
        <v>24</v>
      </c>
      <c r="C23" t="s">
        <v>33</v>
      </c>
    </row>
    <row r="24" spans="1:3" hidden="1" x14ac:dyDescent="0.2">
      <c r="A24" s="25" t="s">
        <v>34</v>
      </c>
      <c r="B24" s="12">
        <f>B22/(B14/B23/60/60)</f>
        <v>-78.438461538461524</v>
      </c>
      <c r="C24" t="s">
        <v>14</v>
      </c>
    </row>
    <row r="25" spans="1:3" hidden="1" x14ac:dyDescent="0.2">
      <c r="A25" s="25" t="s">
        <v>35</v>
      </c>
      <c r="B25" s="13">
        <v>0.95</v>
      </c>
    </row>
    <row r="26" spans="1:3" hidden="1" x14ac:dyDescent="0.2">
      <c r="A26" s="25" t="s">
        <v>36</v>
      </c>
      <c r="B26" s="14">
        <v>0.1</v>
      </c>
      <c r="C26" t="s">
        <v>37</v>
      </c>
    </row>
    <row r="27" spans="1:3" x14ac:dyDescent="0.2">
      <c r="A27" s="25" t="s">
        <v>38</v>
      </c>
      <c r="B27" s="9">
        <f>B21*B26/1000</f>
        <v>-88.512616799061831</v>
      </c>
      <c r="C27" t="s">
        <v>39</v>
      </c>
    </row>
    <row r="28" spans="1:3" x14ac:dyDescent="0.2">
      <c r="A28" s="25" t="s">
        <v>40</v>
      </c>
      <c r="B28" s="4">
        <f>B27*B23*B25*365</f>
        <v>-736601.99700179254</v>
      </c>
      <c r="C28" t="s">
        <v>41</v>
      </c>
    </row>
    <row r="29" spans="1:3" x14ac:dyDescent="0.2">
      <c r="A29" s="23"/>
      <c r="B29" s="4"/>
    </row>
    <row r="30" spans="1:3" x14ac:dyDescent="0.2">
      <c r="A30" s="27" t="s">
        <v>97</v>
      </c>
      <c r="B30" s="4"/>
    </row>
    <row r="31" spans="1:3" x14ac:dyDescent="0.2">
      <c r="A31" s="34" t="s">
        <v>101</v>
      </c>
      <c r="B31" s="4">
        <v>204.85499999999999</v>
      </c>
      <c r="C31" t="s">
        <v>100</v>
      </c>
    </row>
    <row r="32" spans="1:3" x14ac:dyDescent="0.2">
      <c r="A32" s="28" t="s">
        <v>42</v>
      </c>
      <c r="B32" s="7">
        <v>2800</v>
      </c>
      <c r="C32" t="s">
        <v>14</v>
      </c>
    </row>
    <row r="33" spans="1:3" x14ac:dyDescent="0.2">
      <c r="A33" s="28" t="s">
        <v>43</v>
      </c>
      <c r="B33" s="7">
        <v>37000</v>
      </c>
      <c r="C33" t="s">
        <v>44</v>
      </c>
    </row>
    <row r="34" spans="1:3" x14ac:dyDescent="0.2">
      <c r="A34" s="28" t="s">
        <v>45</v>
      </c>
      <c r="B34" s="3">
        <f>B32*325</f>
        <v>910000</v>
      </c>
      <c r="C34" t="s">
        <v>9</v>
      </c>
    </row>
    <row r="35" spans="1:3" x14ac:dyDescent="0.2">
      <c r="A35" s="28" t="s">
        <v>15</v>
      </c>
      <c r="B35" s="4">
        <v>325851</v>
      </c>
      <c r="C35" t="s">
        <v>16</v>
      </c>
    </row>
    <row r="36" spans="1:3" x14ac:dyDescent="0.2">
      <c r="A36" s="28" t="s">
        <v>46</v>
      </c>
      <c r="B36" s="7">
        <v>24</v>
      </c>
      <c r="C36" t="s">
        <v>33</v>
      </c>
    </row>
    <row r="37" spans="1:3" x14ac:dyDescent="0.2">
      <c r="A37" s="28" t="s">
        <v>47</v>
      </c>
      <c r="B37" s="5">
        <f>B32*B35/B36/60</f>
        <v>633599.16666666663</v>
      </c>
      <c r="C37" t="s">
        <v>18</v>
      </c>
    </row>
    <row r="38" spans="1:3" hidden="1" x14ac:dyDescent="0.2">
      <c r="A38" s="28" t="s">
        <v>15</v>
      </c>
      <c r="B38" s="5">
        <v>1233.489</v>
      </c>
      <c r="C38" t="s">
        <v>19</v>
      </c>
    </row>
    <row r="39" spans="1:3" x14ac:dyDescent="0.2">
      <c r="A39" s="28" t="s">
        <v>20</v>
      </c>
      <c r="B39" s="6">
        <f>B32*B38/B36/60/60</f>
        <v>39.974180555555563</v>
      </c>
      <c r="C39" t="s">
        <v>21</v>
      </c>
    </row>
    <row r="40" spans="1:3" x14ac:dyDescent="0.2">
      <c r="A40" s="28" t="s">
        <v>48</v>
      </c>
      <c r="B40" s="7">
        <v>1020</v>
      </c>
      <c r="C40" t="s">
        <v>23</v>
      </c>
    </row>
    <row r="41" spans="1:3" x14ac:dyDescent="0.2">
      <c r="A41" s="28" t="s">
        <v>24</v>
      </c>
      <c r="B41">
        <v>9.8066499999999994</v>
      </c>
      <c r="C41" t="s">
        <v>25</v>
      </c>
    </row>
    <row r="42" spans="1:3" x14ac:dyDescent="0.2">
      <c r="A42" s="28" t="s">
        <v>49</v>
      </c>
      <c r="B42" s="8">
        <f xml:space="preserve"> B3 + B31</f>
        <v>509.85500000000002</v>
      </c>
      <c r="C42" t="s">
        <v>1</v>
      </c>
    </row>
    <row r="43" spans="1:3" x14ac:dyDescent="0.2">
      <c r="A43" s="28" t="s">
        <v>49</v>
      </c>
      <c r="B43" s="9">
        <f>B42*0.3048</f>
        <v>155.40380400000001</v>
      </c>
      <c r="C43" t="s">
        <v>27</v>
      </c>
    </row>
    <row r="44" spans="1:3" x14ac:dyDescent="0.2">
      <c r="A44" s="28" t="s">
        <v>50</v>
      </c>
      <c r="B44" s="10">
        <v>0.85</v>
      </c>
      <c r="C44" t="s">
        <v>51</v>
      </c>
    </row>
    <row r="45" spans="1:3" x14ac:dyDescent="0.2">
      <c r="A45" s="28" t="s">
        <v>52</v>
      </c>
      <c r="B45" s="10">
        <v>0.92</v>
      </c>
    </row>
    <row r="46" spans="1:3" x14ac:dyDescent="0.2">
      <c r="A46" s="28" t="s">
        <v>53</v>
      </c>
      <c r="B46" s="10">
        <v>0.97</v>
      </c>
    </row>
    <row r="47" spans="1:3" x14ac:dyDescent="0.2">
      <c r="A47" s="28" t="s">
        <v>54</v>
      </c>
      <c r="B47" s="15">
        <f>B44*B45*B46</f>
        <v>0.75853999999999999</v>
      </c>
    </row>
    <row r="48" spans="1:3" x14ac:dyDescent="0.2">
      <c r="A48" s="28" t="s">
        <v>55</v>
      </c>
      <c r="B48" s="5">
        <f>B40*B41*B43*B39/B47</f>
        <v>81918798.726504549</v>
      </c>
      <c r="C48" t="s">
        <v>30</v>
      </c>
    </row>
    <row r="49" spans="1:4" x14ac:dyDescent="0.2">
      <c r="A49" s="28" t="s">
        <v>55</v>
      </c>
      <c r="B49" s="16">
        <f>B48/1000/1000</f>
        <v>81.918798726504548</v>
      </c>
      <c r="C49" t="s">
        <v>56</v>
      </c>
    </row>
    <row r="50" spans="1:4" x14ac:dyDescent="0.2">
      <c r="A50" s="28" t="s">
        <v>57</v>
      </c>
      <c r="B50" s="17">
        <v>0.1</v>
      </c>
      <c r="C50" t="s">
        <v>37</v>
      </c>
    </row>
    <row r="51" spans="1:4" x14ac:dyDescent="0.2">
      <c r="A51" s="28" t="s">
        <v>58</v>
      </c>
      <c r="B51" s="9">
        <f>B48*B50/1000</f>
        <v>8191.8798726504556</v>
      </c>
      <c r="C51" t="s">
        <v>39</v>
      </c>
    </row>
    <row r="52" spans="1:4" x14ac:dyDescent="0.2">
      <c r="A52" s="28" t="s">
        <v>59</v>
      </c>
      <c r="B52" s="4">
        <f>B51*B36*365</f>
        <v>71760867.684417993</v>
      </c>
      <c r="C52" t="s">
        <v>41</v>
      </c>
    </row>
    <row r="53" spans="1:4" x14ac:dyDescent="0.2">
      <c r="A53" s="23"/>
      <c r="B53" s="4"/>
    </row>
    <row r="54" spans="1:4" x14ac:dyDescent="0.2">
      <c r="A54" s="29" t="s">
        <v>98</v>
      </c>
      <c r="B54" s="4"/>
    </row>
    <row r="55" spans="1:4" x14ac:dyDescent="0.2">
      <c r="A55" s="33" t="s">
        <v>102</v>
      </c>
      <c r="B55" s="4">
        <v>83.055000000000007</v>
      </c>
      <c r="C55" t="s">
        <v>1</v>
      </c>
    </row>
    <row r="56" spans="1:4" x14ac:dyDescent="0.2">
      <c r="A56" s="24" t="s">
        <v>60</v>
      </c>
      <c r="B56" s="3">
        <f>B34+B10</f>
        <v>884507.5</v>
      </c>
      <c r="C56" t="s">
        <v>9</v>
      </c>
    </row>
    <row r="57" spans="1:4" x14ac:dyDescent="0.2">
      <c r="A57" s="24" t="s">
        <v>61</v>
      </c>
      <c r="B57" s="3">
        <f>B56/325</f>
        <v>2721.5615384615385</v>
      </c>
      <c r="C57" t="s">
        <v>14</v>
      </c>
      <c r="D57" s="4">
        <f>B57*365</f>
        <v>993369.9615384615</v>
      </c>
    </row>
    <row r="58" spans="1:4" x14ac:dyDescent="0.2">
      <c r="A58" s="24" t="s">
        <v>15</v>
      </c>
      <c r="B58" s="2">
        <v>325853.38368799997</v>
      </c>
      <c r="C58" t="s">
        <v>16</v>
      </c>
    </row>
    <row r="59" spans="1:4" x14ac:dyDescent="0.2">
      <c r="A59" s="24" t="s">
        <v>62</v>
      </c>
      <c r="B59" s="5">
        <f>B57*B58/B73/60</f>
        <v>615854.1918213967</v>
      </c>
      <c r="C59" t="s">
        <v>18</v>
      </c>
    </row>
    <row r="60" spans="1:4" x14ac:dyDescent="0.2">
      <c r="A60" s="24" t="s">
        <v>15</v>
      </c>
      <c r="B60" s="5">
        <v>1233.489</v>
      </c>
      <c r="C60" t="s">
        <v>19</v>
      </c>
    </row>
    <row r="61" spans="1:4" x14ac:dyDescent="0.2">
      <c r="A61" s="24" t="s">
        <v>20</v>
      </c>
      <c r="B61" s="6">
        <f>B57*B60/B73/60/60</f>
        <v>38.854354404113245</v>
      </c>
      <c r="C61" t="s">
        <v>21</v>
      </c>
    </row>
    <row r="62" spans="1:4" x14ac:dyDescent="0.2">
      <c r="A62" s="24" t="s">
        <v>48</v>
      </c>
      <c r="B62" s="7">
        <v>1020</v>
      </c>
      <c r="C62" t="s">
        <v>23</v>
      </c>
    </row>
    <row r="63" spans="1:4" x14ac:dyDescent="0.2">
      <c r="A63" s="24" t="s">
        <v>24</v>
      </c>
      <c r="B63">
        <v>9.8066499999999994</v>
      </c>
      <c r="C63" t="s">
        <v>25</v>
      </c>
    </row>
    <row r="64" spans="1:4" x14ac:dyDescent="0.2">
      <c r="A64" s="24" t="s">
        <v>26</v>
      </c>
      <c r="B64" s="8">
        <f xml:space="preserve"> B3 +238.5-B55</f>
        <v>460.44499999999999</v>
      </c>
      <c r="C64" t="s">
        <v>1</v>
      </c>
    </row>
    <row r="65" spans="1:3" x14ac:dyDescent="0.2">
      <c r="A65" s="24" t="s">
        <v>26</v>
      </c>
      <c r="B65" s="9">
        <f>B64*0.3048</f>
        <v>140.343636</v>
      </c>
      <c r="C65" t="s">
        <v>27</v>
      </c>
    </row>
    <row r="66" spans="1:3" x14ac:dyDescent="0.2">
      <c r="A66" s="24" t="s">
        <v>28</v>
      </c>
      <c r="B66" s="10">
        <v>0.85</v>
      </c>
    </row>
    <row r="67" spans="1:3" x14ac:dyDescent="0.2">
      <c r="A67" s="24" t="s">
        <v>52</v>
      </c>
      <c r="B67" s="10">
        <v>0.92</v>
      </c>
    </row>
    <row r="68" spans="1:3" x14ac:dyDescent="0.2">
      <c r="A68" s="24" t="s">
        <v>53</v>
      </c>
      <c r="B68" s="10">
        <v>0.97</v>
      </c>
    </row>
    <row r="69" spans="1:3" x14ac:dyDescent="0.2">
      <c r="A69" s="24" t="s">
        <v>54</v>
      </c>
      <c r="B69" s="15">
        <f>B66*B67*B68</f>
        <v>0.75853999999999999</v>
      </c>
    </row>
    <row r="70" spans="1:3" x14ac:dyDescent="0.2">
      <c r="A70" s="24" t="s">
        <v>29</v>
      </c>
      <c r="B70" s="5">
        <f>B69*B62*B63*B65*B61</f>
        <v>41374404.48059465</v>
      </c>
      <c r="C70" t="s">
        <v>30</v>
      </c>
    </row>
    <row r="71" spans="1:3" x14ac:dyDescent="0.2">
      <c r="A71" s="24" t="s">
        <v>29</v>
      </c>
      <c r="B71" s="18">
        <f>B70/1000/1000</f>
        <v>41.374404480594649</v>
      </c>
      <c r="C71" t="s">
        <v>56</v>
      </c>
    </row>
    <row r="72" spans="1:3" x14ac:dyDescent="0.2">
      <c r="A72" s="24" t="s">
        <v>31</v>
      </c>
      <c r="B72" s="11">
        <f>B70/(B62*B63*B65*B66)</f>
        <v>34.673625870230659</v>
      </c>
      <c r="C72" t="s">
        <v>21</v>
      </c>
    </row>
    <row r="73" spans="1:3" x14ac:dyDescent="0.2">
      <c r="A73" s="24" t="s">
        <v>63</v>
      </c>
      <c r="B73" s="7">
        <v>24</v>
      </c>
      <c r="C73" t="s">
        <v>33</v>
      </c>
    </row>
    <row r="74" spans="1:3" x14ac:dyDescent="0.2">
      <c r="A74" s="24" t="s">
        <v>34</v>
      </c>
      <c r="B74" s="19">
        <f>B72/(B60/B73/60/60)</f>
        <v>2428.7215169230767</v>
      </c>
      <c r="C74" t="s">
        <v>14</v>
      </c>
    </row>
    <row r="75" spans="1:3" x14ac:dyDescent="0.2">
      <c r="A75" s="24" t="s">
        <v>35</v>
      </c>
      <c r="B75" s="10">
        <v>0.95</v>
      </c>
    </row>
    <row r="76" spans="1:3" x14ac:dyDescent="0.2">
      <c r="A76" s="24" t="s">
        <v>64</v>
      </c>
      <c r="B76" s="14">
        <v>8.5000000000000006E-2</v>
      </c>
      <c r="C76" t="s">
        <v>37</v>
      </c>
    </row>
    <row r="77" spans="1:3" x14ac:dyDescent="0.2">
      <c r="A77" s="24" t="s">
        <v>65</v>
      </c>
      <c r="B77" s="4">
        <f>B70*B76/1000</f>
        <v>3516.8243808505458</v>
      </c>
      <c r="C77" t="s">
        <v>39</v>
      </c>
    </row>
    <row r="78" spans="1:3" x14ac:dyDescent="0.2">
      <c r="A78" s="24" t="s">
        <v>66</v>
      </c>
      <c r="B78" s="4">
        <f>B77*B73*B75*365</f>
        <v>29267012.497438241</v>
      </c>
      <c r="C78" t="s">
        <v>41</v>
      </c>
    </row>
    <row r="79" spans="1:3" x14ac:dyDescent="0.2">
      <c r="A79" s="24" t="s">
        <v>67</v>
      </c>
      <c r="B79" s="20">
        <f>B71-B49</f>
        <v>-40.544394245909899</v>
      </c>
      <c r="C79" t="s">
        <v>56</v>
      </c>
    </row>
    <row r="80" spans="1:3" x14ac:dyDescent="0.2">
      <c r="B80" s="4"/>
    </row>
    <row r="81" spans="1:3" x14ac:dyDescent="0.2">
      <c r="A81" s="30" t="s">
        <v>99</v>
      </c>
      <c r="B81" s="4"/>
    </row>
    <row r="82" spans="1:3" x14ac:dyDescent="0.2">
      <c r="A82" s="31" t="s">
        <v>68</v>
      </c>
      <c r="B82" s="7">
        <v>2400</v>
      </c>
      <c r="C82" t="s">
        <v>69</v>
      </c>
    </row>
    <row r="83" spans="1:3" x14ac:dyDescent="0.2">
      <c r="A83" s="31" t="s">
        <v>70</v>
      </c>
      <c r="B83" s="3">
        <f>B82*(B70)/1000</f>
        <v>99298570.753427148</v>
      </c>
      <c r="C83" t="s">
        <v>71</v>
      </c>
    </row>
    <row r="84" spans="1:3" x14ac:dyDescent="0.2">
      <c r="A84" s="31" t="s">
        <v>72</v>
      </c>
      <c r="B84" s="21">
        <v>25</v>
      </c>
      <c r="C84" t="s">
        <v>73</v>
      </c>
    </row>
    <row r="85" spans="1:3" x14ac:dyDescent="0.2">
      <c r="A85" s="31" t="s">
        <v>74</v>
      </c>
      <c r="B85" s="17">
        <v>100</v>
      </c>
      <c r="C85" t="s">
        <v>69</v>
      </c>
    </row>
    <row r="86" spans="1:3" x14ac:dyDescent="0.2">
      <c r="A86" s="31" t="s">
        <v>75</v>
      </c>
      <c r="B86" s="3">
        <f>B85+(B83/B84)</f>
        <v>3972042.8301370861</v>
      </c>
      <c r="C86" t="s">
        <v>41</v>
      </c>
    </row>
    <row r="87" spans="1:3" x14ac:dyDescent="0.2">
      <c r="A87" s="31" t="s">
        <v>76</v>
      </c>
      <c r="B87" s="7">
        <v>1000</v>
      </c>
      <c r="C87" t="s">
        <v>69</v>
      </c>
    </row>
    <row r="88" spans="1:3" x14ac:dyDescent="0.2">
      <c r="A88" s="31" t="s">
        <v>77</v>
      </c>
      <c r="B88" s="3">
        <f>B87*B70/1000</f>
        <v>41374404.48059465</v>
      </c>
      <c r="C88" t="s">
        <v>71</v>
      </c>
    </row>
    <row r="89" spans="1:3" x14ac:dyDescent="0.2">
      <c r="A89" s="31" t="s">
        <v>78</v>
      </c>
      <c r="B89" s="21">
        <v>50</v>
      </c>
      <c r="C89" t="s">
        <v>73</v>
      </c>
    </row>
    <row r="90" spans="1:3" x14ac:dyDescent="0.2">
      <c r="A90" s="31" t="s">
        <v>79</v>
      </c>
      <c r="B90" s="17">
        <v>3</v>
      </c>
      <c r="C90" t="s">
        <v>69</v>
      </c>
    </row>
    <row r="91" spans="1:3" x14ac:dyDescent="0.2">
      <c r="A91" s="31" t="s">
        <v>80</v>
      </c>
      <c r="B91" s="3">
        <f>B90+(B88/B89)</f>
        <v>827491.08961189305</v>
      </c>
      <c r="C91" t="s">
        <v>41</v>
      </c>
    </row>
    <row r="92" spans="1:3" x14ac:dyDescent="0.2">
      <c r="A92" s="31" t="s">
        <v>81</v>
      </c>
      <c r="B92" s="17">
        <v>1.69</v>
      </c>
      <c r="C92" t="s">
        <v>82</v>
      </c>
    </row>
    <row r="93" spans="1:3" x14ac:dyDescent="0.2">
      <c r="A93" s="31" t="s">
        <v>81</v>
      </c>
      <c r="B93" s="22">
        <f>B92/30/B23</f>
        <v>2.3472222222222223E-3</v>
      </c>
      <c r="C93" t="s">
        <v>37</v>
      </c>
    </row>
    <row r="94" spans="1:3" x14ac:dyDescent="0.2">
      <c r="A94" s="31" t="s">
        <v>83</v>
      </c>
      <c r="B94" s="3">
        <f>B92*12*(B70/1000)</f>
        <v>839072.92286645947</v>
      </c>
      <c r="C94" t="s">
        <v>41</v>
      </c>
    </row>
    <row r="95" spans="1:3" x14ac:dyDescent="0.2">
      <c r="A95" s="31" t="s">
        <v>84</v>
      </c>
      <c r="B95" s="7">
        <v>2400</v>
      </c>
      <c r="C95" t="s">
        <v>69</v>
      </c>
    </row>
    <row r="96" spans="1:3" x14ac:dyDescent="0.2">
      <c r="A96" s="31" t="s">
        <v>85</v>
      </c>
      <c r="B96" s="3">
        <f>B95*(B48)/1000</f>
        <v>196605116.94361094</v>
      </c>
      <c r="C96" t="s">
        <v>71</v>
      </c>
    </row>
    <row r="97" spans="1:3" x14ac:dyDescent="0.2">
      <c r="A97" s="31" t="s">
        <v>86</v>
      </c>
      <c r="B97" s="21">
        <v>25</v>
      </c>
      <c r="C97" t="s">
        <v>73</v>
      </c>
    </row>
    <row r="98" spans="1:3" x14ac:dyDescent="0.2">
      <c r="A98" s="31" t="s">
        <v>87</v>
      </c>
      <c r="B98" s="17">
        <v>100</v>
      </c>
      <c r="C98" t="s">
        <v>69</v>
      </c>
    </row>
    <row r="99" spans="1:3" x14ac:dyDescent="0.2">
      <c r="A99" s="31" t="s">
        <v>88</v>
      </c>
      <c r="B99" s="3">
        <f>B98+(B96/B97)</f>
        <v>7864304.677744437</v>
      </c>
      <c r="C99" t="s">
        <v>41</v>
      </c>
    </row>
    <row r="100" spans="1:3" x14ac:dyDescent="0.2">
      <c r="A100" s="31" t="s">
        <v>89</v>
      </c>
      <c r="B100" s="7">
        <v>1000</v>
      </c>
      <c r="C100" t="s">
        <v>90</v>
      </c>
    </row>
    <row r="101" spans="1:3" x14ac:dyDescent="0.2">
      <c r="A101" s="31" t="s">
        <v>91</v>
      </c>
      <c r="B101" s="3">
        <f>B100*B59/1000</f>
        <v>615854.1918213967</v>
      </c>
      <c r="C101" t="s">
        <v>71</v>
      </c>
    </row>
    <row r="102" spans="1:3" x14ac:dyDescent="0.2">
      <c r="A102" s="31" t="s">
        <v>92</v>
      </c>
      <c r="B102" s="21">
        <v>15</v>
      </c>
      <c r="C102" t="s">
        <v>73</v>
      </c>
    </row>
    <row r="103" spans="1:3" x14ac:dyDescent="0.2">
      <c r="A103" s="31" t="s">
        <v>93</v>
      </c>
      <c r="B103" s="17">
        <v>100</v>
      </c>
      <c r="C103" t="s">
        <v>90</v>
      </c>
    </row>
    <row r="104" spans="1:3" x14ac:dyDescent="0.2">
      <c r="A104" s="31" t="s">
        <v>94</v>
      </c>
      <c r="B104" s="3">
        <f>B103+(B101/B102)</f>
        <v>41156.946121426445</v>
      </c>
      <c r="C104" t="s">
        <v>41</v>
      </c>
    </row>
    <row r="105" spans="1:3" x14ac:dyDescent="0.2">
      <c r="A105" s="31" t="s">
        <v>95</v>
      </c>
      <c r="B105" s="4">
        <f>SUM(B86,B91,B94,B99,B104)</f>
        <v>13544068.466481302</v>
      </c>
      <c r="C105" t="s">
        <v>41</v>
      </c>
    </row>
    <row r="106" spans="1:3" x14ac:dyDescent="0.2">
      <c r="A106" s="31"/>
    </row>
    <row r="107" spans="1:3" x14ac:dyDescent="0.2">
      <c r="A107" s="31" t="s">
        <v>103</v>
      </c>
      <c r="B107" s="32">
        <f>B28+B78-B52-B105</f>
        <v>-56774525.650462851</v>
      </c>
      <c r="C107" t="s">
        <v>41</v>
      </c>
    </row>
    <row r="109" spans="1:3" x14ac:dyDescent="0.2">
      <c r="A109" t="s">
        <v>104</v>
      </c>
      <c r="B109" s="32">
        <f>SUM(B83,B88,B96,B101)</f>
        <v>337893946.36945409</v>
      </c>
    </row>
    <row r="110" spans="1:3" x14ac:dyDescent="0.2">
      <c r="A110" t="s">
        <v>105</v>
      </c>
      <c r="B110" s="32">
        <f xml:space="preserve"> 1.17 * B109</f>
        <v>395335917.25226128</v>
      </c>
    </row>
  </sheetData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 r:id="rId1"/>
  <headerFooter alignWithMargins="0">
    <oddHeader>&amp;LDust Elimination Hydro Power Ponds&amp;RNew River Total Flow to Ponds then to Salton Sea</oddHeader>
    <oddFooter>&amp;LSea to Sea Team&amp;CCopyright 2011 Sephton Water Technology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topLeftCell="A88" zoomScale="110" zoomScaleNormal="110" workbookViewId="0">
      <selection activeCell="D108" sqref="D108"/>
    </sheetView>
  </sheetViews>
  <sheetFormatPr defaultRowHeight="12.75" x14ac:dyDescent="0.2"/>
  <cols>
    <col min="1" max="1" width="35.42578125" customWidth="1"/>
    <col min="2" max="2" width="17" customWidth="1"/>
    <col min="3" max="3" width="11.140625" customWidth="1"/>
  </cols>
  <sheetData>
    <row r="1" spans="1:8" x14ac:dyDescent="0.2">
      <c r="A1" s="26" t="s">
        <v>96</v>
      </c>
    </row>
    <row r="2" spans="1:8" x14ac:dyDescent="0.2">
      <c r="A2" s="25" t="s">
        <v>0</v>
      </c>
      <c r="B2" s="1">
        <v>30</v>
      </c>
      <c r="C2" t="s">
        <v>1</v>
      </c>
    </row>
    <row r="3" spans="1:8" x14ac:dyDescent="0.2">
      <c r="A3" s="25" t="s">
        <v>2</v>
      </c>
      <c r="B3" s="1">
        <v>40</v>
      </c>
      <c r="C3" t="s">
        <v>1</v>
      </c>
    </row>
    <row r="4" spans="1:8" x14ac:dyDescent="0.2">
      <c r="A4" s="25" t="s">
        <v>3</v>
      </c>
      <c r="B4" s="1">
        <v>12</v>
      </c>
      <c r="C4" t="s">
        <v>1</v>
      </c>
    </row>
    <row r="5" spans="1:8" x14ac:dyDescent="0.2">
      <c r="A5" s="25" t="s">
        <v>4</v>
      </c>
      <c r="B5" s="1">
        <v>175.79</v>
      </c>
      <c r="C5" t="s">
        <v>5</v>
      </c>
    </row>
    <row r="6" spans="1:8" x14ac:dyDescent="0.2">
      <c r="A6" s="25" t="s">
        <v>4</v>
      </c>
      <c r="B6" s="2">
        <f>B5*5280</f>
        <v>928171.2</v>
      </c>
      <c r="C6" t="s">
        <v>1</v>
      </c>
    </row>
    <row r="7" spans="1:8" x14ac:dyDescent="0.2">
      <c r="A7" s="25" t="s">
        <v>6</v>
      </c>
      <c r="B7" s="2">
        <f>B2*B4*B5</f>
        <v>63284.399999999994</v>
      </c>
      <c r="C7" t="s">
        <v>7</v>
      </c>
    </row>
    <row r="8" spans="1:8" x14ac:dyDescent="0.2">
      <c r="A8" s="25" t="s">
        <v>8</v>
      </c>
      <c r="B8" s="2">
        <f>3/12*B2</f>
        <v>7.5</v>
      </c>
      <c r="C8" t="s">
        <v>9</v>
      </c>
      <c r="E8" s="3"/>
      <c r="H8" s="3"/>
    </row>
    <row r="9" spans="1:8" x14ac:dyDescent="0.2">
      <c r="A9" s="25" t="s">
        <v>10</v>
      </c>
      <c r="B9" s="3">
        <v>68</v>
      </c>
      <c r="C9" t="s">
        <v>11</v>
      </c>
    </row>
    <row r="10" spans="1:8" x14ac:dyDescent="0.2">
      <c r="A10" s="25" t="s">
        <v>12</v>
      </c>
      <c r="B10" s="3">
        <f>B8-(B2*B5*B9/12)</f>
        <v>-29876.799999999999</v>
      </c>
      <c r="C10" t="s">
        <v>9</v>
      </c>
    </row>
    <row r="11" spans="1:8" x14ac:dyDescent="0.2">
      <c r="A11" s="25" t="s">
        <v>13</v>
      </c>
      <c r="B11" s="2">
        <f>B10/325</f>
        <v>-91.928615384615384</v>
      </c>
      <c r="C11" t="s">
        <v>14</v>
      </c>
    </row>
    <row r="12" spans="1:8" hidden="1" x14ac:dyDescent="0.2">
      <c r="A12" s="25" t="s">
        <v>15</v>
      </c>
      <c r="B12" s="4">
        <v>325851</v>
      </c>
      <c r="C12" t="s">
        <v>16</v>
      </c>
    </row>
    <row r="13" spans="1:8" x14ac:dyDescent="0.2">
      <c r="A13" s="25" t="s">
        <v>17</v>
      </c>
      <c r="B13" s="5">
        <f>B11*B12/B23/60</f>
        <v>-20802.105035897435</v>
      </c>
      <c r="C13" t="s">
        <v>18</v>
      </c>
    </row>
    <row r="14" spans="1:8" hidden="1" x14ac:dyDescent="0.2">
      <c r="A14" s="25" t="s">
        <v>15</v>
      </c>
      <c r="B14" s="5">
        <v>1233.489</v>
      </c>
      <c r="C14" t="s">
        <v>19</v>
      </c>
    </row>
    <row r="15" spans="1:8" hidden="1" x14ac:dyDescent="0.2">
      <c r="A15" s="25" t="s">
        <v>20</v>
      </c>
      <c r="B15" s="6">
        <f>B11*B14/B23/60/60</f>
        <v>-1.312418239145299</v>
      </c>
      <c r="C15" t="s">
        <v>21</v>
      </c>
    </row>
    <row r="16" spans="1:8" hidden="1" x14ac:dyDescent="0.2">
      <c r="A16" s="25" t="s">
        <v>22</v>
      </c>
      <c r="B16" s="7">
        <v>1020</v>
      </c>
      <c r="C16" t="s">
        <v>23</v>
      </c>
    </row>
    <row r="17" spans="1:3" hidden="1" x14ac:dyDescent="0.2">
      <c r="A17" s="25" t="s">
        <v>24</v>
      </c>
      <c r="B17">
        <v>9.8066499999999994</v>
      </c>
      <c r="C17" t="s">
        <v>25</v>
      </c>
    </row>
    <row r="18" spans="1:3" hidden="1" x14ac:dyDescent="0.2">
      <c r="A18" s="25" t="s">
        <v>26</v>
      </c>
      <c r="B18" s="8">
        <f xml:space="preserve"> B3</f>
        <v>40</v>
      </c>
      <c r="C18" t="s">
        <v>1</v>
      </c>
    </row>
    <row r="19" spans="1:3" hidden="1" x14ac:dyDescent="0.2">
      <c r="A19" s="25" t="s">
        <v>26</v>
      </c>
      <c r="B19" s="9">
        <f>B18*0.3048</f>
        <v>12.192</v>
      </c>
      <c r="C19" t="s">
        <v>27</v>
      </c>
    </row>
    <row r="20" spans="1:3" hidden="1" x14ac:dyDescent="0.2">
      <c r="A20" s="25" t="s">
        <v>28</v>
      </c>
      <c r="B20" s="10">
        <v>0.85</v>
      </c>
    </row>
    <row r="21" spans="1:3" hidden="1" x14ac:dyDescent="0.2">
      <c r="A21" s="25" t="s">
        <v>29</v>
      </c>
      <c r="B21" s="5">
        <f>B20*B16*B17*B19*B15</f>
        <v>-136046.37813215831</v>
      </c>
      <c r="C21" t="s">
        <v>30</v>
      </c>
    </row>
    <row r="22" spans="1:3" hidden="1" x14ac:dyDescent="0.2">
      <c r="A22" s="25" t="s">
        <v>31</v>
      </c>
      <c r="B22" s="11">
        <f>B21/(B16*B17*B19*B20)</f>
        <v>-1.3124182391452988</v>
      </c>
      <c r="C22" t="s">
        <v>21</v>
      </c>
    </row>
    <row r="23" spans="1:3" hidden="1" x14ac:dyDescent="0.2">
      <c r="A23" s="25" t="s">
        <v>32</v>
      </c>
      <c r="B23" s="7">
        <v>24</v>
      </c>
      <c r="C23" t="s">
        <v>33</v>
      </c>
    </row>
    <row r="24" spans="1:3" hidden="1" x14ac:dyDescent="0.2">
      <c r="A24" s="25" t="s">
        <v>34</v>
      </c>
      <c r="B24" s="12">
        <f>B22/(B14/B23/60/60)</f>
        <v>-91.928615384615355</v>
      </c>
      <c r="C24" t="s">
        <v>14</v>
      </c>
    </row>
    <row r="25" spans="1:3" hidden="1" x14ac:dyDescent="0.2">
      <c r="A25" s="25" t="s">
        <v>35</v>
      </c>
      <c r="B25" s="13">
        <v>0.95</v>
      </c>
    </row>
    <row r="26" spans="1:3" hidden="1" x14ac:dyDescent="0.2">
      <c r="A26" s="25" t="s">
        <v>36</v>
      </c>
      <c r="B26" s="14">
        <v>0.1</v>
      </c>
      <c r="C26" t="s">
        <v>37</v>
      </c>
    </row>
    <row r="27" spans="1:3" x14ac:dyDescent="0.2">
      <c r="A27" s="25" t="s">
        <v>38</v>
      </c>
      <c r="B27" s="9">
        <f>B21*B26/1000</f>
        <v>-13.604637813215831</v>
      </c>
      <c r="C27" t="s">
        <v>39</v>
      </c>
    </row>
    <row r="28" spans="1:3" x14ac:dyDescent="0.2">
      <c r="A28" s="25" t="s">
        <v>40</v>
      </c>
      <c r="B28" s="4">
        <f>B27*B23*B25*365</f>
        <v>-113217.79588158213</v>
      </c>
      <c r="C28" t="s">
        <v>41</v>
      </c>
    </row>
    <row r="29" spans="1:3" x14ac:dyDescent="0.2">
      <c r="A29" s="23"/>
      <c r="B29" s="4"/>
    </row>
    <row r="30" spans="1:3" x14ac:dyDescent="0.2">
      <c r="A30" s="27" t="s">
        <v>97</v>
      </c>
      <c r="B30" s="4"/>
    </row>
    <row r="31" spans="1:3" x14ac:dyDescent="0.2">
      <c r="A31" s="34" t="s">
        <v>101</v>
      </c>
      <c r="B31" s="4">
        <v>263.685</v>
      </c>
      <c r="C31" t="s">
        <v>100</v>
      </c>
    </row>
    <row r="32" spans="1:3" x14ac:dyDescent="0.2">
      <c r="A32" s="28" t="s">
        <v>42</v>
      </c>
      <c r="B32" s="7">
        <v>2800</v>
      </c>
      <c r="C32" t="s">
        <v>14</v>
      </c>
    </row>
    <row r="33" spans="1:3" x14ac:dyDescent="0.2">
      <c r="A33" s="28" t="s">
        <v>43</v>
      </c>
      <c r="B33" s="7">
        <v>37000</v>
      </c>
      <c r="C33" t="s">
        <v>44</v>
      </c>
    </row>
    <row r="34" spans="1:3" x14ac:dyDescent="0.2">
      <c r="A34" s="28" t="s">
        <v>45</v>
      </c>
      <c r="B34" s="3">
        <f>B32*325</f>
        <v>910000</v>
      </c>
      <c r="C34" t="s">
        <v>9</v>
      </c>
    </row>
    <row r="35" spans="1:3" x14ac:dyDescent="0.2">
      <c r="A35" s="28" t="s">
        <v>15</v>
      </c>
      <c r="B35" s="4">
        <v>325851</v>
      </c>
      <c r="C35" t="s">
        <v>16</v>
      </c>
    </row>
    <row r="36" spans="1:3" x14ac:dyDescent="0.2">
      <c r="A36" s="28" t="s">
        <v>46</v>
      </c>
      <c r="B36" s="7">
        <v>24</v>
      </c>
      <c r="C36" t="s">
        <v>33</v>
      </c>
    </row>
    <row r="37" spans="1:3" x14ac:dyDescent="0.2">
      <c r="A37" s="28" t="s">
        <v>47</v>
      </c>
      <c r="B37" s="5">
        <f>B32*B35/B36/60</f>
        <v>633599.16666666663</v>
      </c>
      <c r="C37" t="s">
        <v>18</v>
      </c>
    </row>
    <row r="38" spans="1:3" hidden="1" x14ac:dyDescent="0.2">
      <c r="A38" s="28" t="s">
        <v>15</v>
      </c>
      <c r="B38" s="5">
        <v>1233.489</v>
      </c>
      <c r="C38" t="s">
        <v>19</v>
      </c>
    </row>
    <row r="39" spans="1:3" x14ac:dyDescent="0.2">
      <c r="A39" s="28" t="s">
        <v>20</v>
      </c>
      <c r="B39" s="6">
        <f>B32*B38/B36/60/60</f>
        <v>39.974180555555563</v>
      </c>
      <c r="C39" t="s">
        <v>21</v>
      </c>
    </row>
    <row r="40" spans="1:3" x14ac:dyDescent="0.2">
      <c r="A40" s="28" t="s">
        <v>48</v>
      </c>
      <c r="B40" s="7">
        <v>1020</v>
      </c>
      <c r="C40" t="s">
        <v>23</v>
      </c>
    </row>
    <row r="41" spans="1:3" x14ac:dyDescent="0.2">
      <c r="A41" s="28" t="s">
        <v>24</v>
      </c>
      <c r="B41">
        <v>9.8066499999999994</v>
      </c>
      <c r="C41" t="s">
        <v>25</v>
      </c>
    </row>
    <row r="42" spans="1:3" x14ac:dyDescent="0.2">
      <c r="A42" s="28" t="s">
        <v>49</v>
      </c>
      <c r="B42" s="8">
        <f xml:space="preserve"> B3 + B31</f>
        <v>303.685</v>
      </c>
      <c r="C42" t="s">
        <v>1</v>
      </c>
    </row>
    <row r="43" spans="1:3" x14ac:dyDescent="0.2">
      <c r="A43" s="28" t="s">
        <v>49</v>
      </c>
      <c r="B43" s="9">
        <f>B42*0.3048</f>
        <v>92.563188000000011</v>
      </c>
      <c r="C43" t="s">
        <v>27</v>
      </c>
    </row>
    <row r="44" spans="1:3" x14ac:dyDescent="0.2">
      <c r="A44" s="28" t="s">
        <v>50</v>
      </c>
      <c r="B44" s="10">
        <v>0.85</v>
      </c>
      <c r="C44" t="s">
        <v>51</v>
      </c>
    </row>
    <row r="45" spans="1:3" x14ac:dyDescent="0.2">
      <c r="A45" s="28" t="s">
        <v>52</v>
      </c>
      <c r="B45" s="10">
        <v>0.92</v>
      </c>
    </row>
    <row r="46" spans="1:3" x14ac:dyDescent="0.2">
      <c r="A46" s="28" t="s">
        <v>53</v>
      </c>
      <c r="B46" s="10">
        <v>0.97</v>
      </c>
    </row>
    <row r="47" spans="1:3" x14ac:dyDescent="0.2">
      <c r="A47" s="28" t="s">
        <v>54</v>
      </c>
      <c r="B47" s="15">
        <f>B44*B45*B46</f>
        <v>0.75853999999999999</v>
      </c>
    </row>
    <row r="48" spans="1:3" x14ac:dyDescent="0.2">
      <c r="A48" s="28" t="s">
        <v>55</v>
      </c>
      <c r="B48" s="5">
        <f>B40*B41*B43*B39/B47</f>
        <v>48793304.74597393</v>
      </c>
      <c r="C48" t="s">
        <v>30</v>
      </c>
    </row>
    <row r="49" spans="1:4" x14ac:dyDescent="0.2">
      <c r="A49" s="28" t="s">
        <v>55</v>
      </c>
      <c r="B49" s="16">
        <f>B48/1000/1000</f>
        <v>48.793304745973934</v>
      </c>
      <c r="C49" t="s">
        <v>56</v>
      </c>
    </row>
    <row r="50" spans="1:4" x14ac:dyDescent="0.2">
      <c r="A50" s="28" t="s">
        <v>57</v>
      </c>
      <c r="B50" s="17">
        <v>0.1</v>
      </c>
      <c r="C50" t="s">
        <v>37</v>
      </c>
    </row>
    <row r="51" spans="1:4" x14ac:dyDescent="0.2">
      <c r="A51" s="28" t="s">
        <v>58</v>
      </c>
      <c r="B51" s="9">
        <f>B48*B50/1000</f>
        <v>4879.3304745973937</v>
      </c>
      <c r="C51" t="s">
        <v>39</v>
      </c>
    </row>
    <row r="52" spans="1:4" x14ac:dyDescent="0.2">
      <c r="A52" s="28" t="s">
        <v>59</v>
      </c>
      <c r="B52" s="4">
        <f>B51*B36*365</f>
        <v>42742934.957473166</v>
      </c>
      <c r="C52" t="s">
        <v>41</v>
      </c>
    </row>
    <row r="53" spans="1:4" x14ac:dyDescent="0.2">
      <c r="A53" s="23"/>
      <c r="B53" s="4"/>
    </row>
    <row r="54" spans="1:4" x14ac:dyDescent="0.2">
      <c r="A54" s="29" t="s">
        <v>98</v>
      </c>
      <c r="B54" s="4"/>
    </row>
    <row r="55" spans="1:4" x14ac:dyDescent="0.2">
      <c r="A55" s="33" t="s">
        <v>102</v>
      </c>
      <c r="B55" s="4">
        <v>0</v>
      </c>
      <c r="C55" t="s">
        <v>1</v>
      </c>
    </row>
    <row r="56" spans="1:4" x14ac:dyDescent="0.2">
      <c r="A56" s="24" t="s">
        <v>60</v>
      </c>
      <c r="B56" s="3">
        <v>0</v>
      </c>
      <c r="C56" t="s">
        <v>9</v>
      </c>
    </row>
    <row r="57" spans="1:4" x14ac:dyDescent="0.2">
      <c r="A57" s="24" t="s">
        <v>61</v>
      </c>
      <c r="B57" s="3">
        <f>B56/325</f>
        <v>0</v>
      </c>
      <c r="C57" t="s">
        <v>14</v>
      </c>
      <c r="D57" s="4">
        <f>B57*365</f>
        <v>0</v>
      </c>
    </row>
    <row r="58" spans="1:4" x14ac:dyDescent="0.2">
      <c r="A58" s="24" t="s">
        <v>15</v>
      </c>
      <c r="B58" s="2">
        <v>325853.38368799997</v>
      </c>
      <c r="C58" t="s">
        <v>16</v>
      </c>
    </row>
    <row r="59" spans="1:4" x14ac:dyDescent="0.2">
      <c r="A59" s="24" t="s">
        <v>62</v>
      </c>
      <c r="B59" s="5">
        <f>B57*B58/B73/60</f>
        <v>0</v>
      </c>
      <c r="C59" t="s">
        <v>18</v>
      </c>
    </row>
    <row r="60" spans="1:4" x14ac:dyDescent="0.2">
      <c r="A60" s="24" t="s">
        <v>15</v>
      </c>
      <c r="B60" s="5">
        <v>1233.489</v>
      </c>
      <c r="C60" t="s">
        <v>19</v>
      </c>
    </row>
    <row r="61" spans="1:4" x14ac:dyDescent="0.2">
      <c r="A61" s="24" t="s">
        <v>20</v>
      </c>
      <c r="B61" s="6">
        <f>B57*B60/B73/60/60</f>
        <v>0</v>
      </c>
      <c r="C61" t="s">
        <v>21</v>
      </c>
    </row>
    <row r="62" spans="1:4" x14ac:dyDescent="0.2">
      <c r="A62" s="24" t="s">
        <v>48</v>
      </c>
      <c r="B62" s="7">
        <v>1020</v>
      </c>
      <c r="C62" t="s">
        <v>23</v>
      </c>
    </row>
    <row r="63" spans="1:4" x14ac:dyDescent="0.2">
      <c r="A63" s="24" t="s">
        <v>24</v>
      </c>
      <c r="B63">
        <v>9.8066499999999994</v>
      </c>
      <c r="C63" t="s">
        <v>25</v>
      </c>
    </row>
    <row r="64" spans="1:4" x14ac:dyDescent="0.2">
      <c r="A64" s="24" t="s">
        <v>26</v>
      </c>
      <c r="B64" s="8">
        <f xml:space="preserve"> B3 +238.5-B55</f>
        <v>278.5</v>
      </c>
      <c r="C64" t="s">
        <v>1</v>
      </c>
    </row>
    <row r="65" spans="1:3" x14ac:dyDescent="0.2">
      <c r="A65" s="24" t="s">
        <v>26</v>
      </c>
      <c r="B65" s="9">
        <f>B64*0.3048</f>
        <v>84.886800000000008</v>
      </c>
      <c r="C65" t="s">
        <v>27</v>
      </c>
    </row>
    <row r="66" spans="1:3" x14ac:dyDescent="0.2">
      <c r="A66" s="24" t="s">
        <v>28</v>
      </c>
      <c r="B66" s="10">
        <v>0.85</v>
      </c>
    </row>
    <row r="67" spans="1:3" x14ac:dyDescent="0.2">
      <c r="A67" s="24" t="s">
        <v>52</v>
      </c>
      <c r="B67" s="10">
        <v>0.92</v>
      </c>
    </row>
    <row r="68" spans="1:3" x14ac:dyDescent="0.2">
      <c r="A68" s="24" t="s">
        <v>53</v>
      </c>
      <c r="B68" s="10">
        <v>0.97</v>
      </c>
    </row>
    <row r="69" spans="1:3" x14ac:dyDescent="0.2">
      <c r="A69" s="24" t="s">
        <v>54</v>
      </c>
      <c r="B69" s="15">
        <f>B66*B67*B68</f>
        <v>0.75853999999999999</v>
      </c>
    </row>
    <row r="70" spans="1:3" x14ac:dyDescent="0.2">
      <c r="A70" s="24" t="s">
        <v>29</v>
      </c>
      <c r="B70" s="5">
        <f>B69*B62*B63*B65*B61</f>
        <v>0</v>
      </c>
      <c r="C70" t="s">
        <v>30</v>
      </c>
    </row>
    <row r="71" spans="1:3" x14ac:dyDescent="0.2">
      <c r="A71" s="24" t="s">
        <v>29</v>
      </c>
      <c r="B71" s="18">
        <f>B70/1000/1000</f>
        <v>0</v>
      </c>
      <c r="C71" t="s">
        <v>56</v>
      </c>
    </row>
    <row r="72" spans="1:3" x14ac:dyDescent="0.2">
      <c r="A72" s="24" t="s">
        <v>31</v>
      </c>
      <c r="B72" s="11">
        <f>B70/(B62*B63*B65*B66)</f>
        <v>0</v>
      </c>
      <c r="C72" t="s">
        <v>21</v>
      </c>
    </row>
    <row r="73" spans="1:3" x14ac:dyDescent="0.2">
      <c r="A73" s="24" t="s">
        <v>63</v>
      </c>
      <c r="B73" s="7">
        <v>24</v>
      </c>
      <c r="C73" t="s">
        <v>33</v>
      </c>
    </row>
    <row r="74" spans="1:3" x14ac:dyDescent="0.2">
      <c r="A74" s="24" t="s">
        <v>34</v>
      </c>
      <c r="B74" s="19">
        <f>B72/(B60/B73/60/60)</f>
        <v>0</v>
      </c>
      <c r="C74" t="s">
        <v>14</v>
      </c>
    </row>
    <row r="75" spans="1:3" x14ac:dyDescent="0.2">
      <c r="A75" s="24" t="s">
        <v>35</v>
      </c>
      <c r="B75" s="10">
        <v>0.95</v>
      </c>
    </row>
    <row r="76" spans="1:3" x14ac:dyDescent="0.2">
      <c r="A76" s="24" t="s">
        <v>64</v>
      </c>
      <c r="B76" s="14">
        <v>8.5000000000000006E-2</v>
      </c>
      <c r="C76" t="s">
        <v>37</v>
      </c>
    </row>
    <row r="77" spans="1:3" x14ac:dyDescent="0.2">
      <c r="A77" s="24" t="s">
        <v>65</v>
      </c>
      <c r="B77" s="4">
        <f>B70*B76/1000</f>
        <v>0</v>
      </c>
      <c r="C77" t="s">
        <v>39</v>
      </c>
    </row>
    <row r="78" spans="1:3" x14ac:dyDescent="0.2">
      <c r="A78" s="24" t="s">
        <v>66</v>
      </c>
      <c r="B78" s="4">
        <f>B77*B73*B75*365</f>
        <v>0</v>
      </c>
      <c r="C78" t="s">
        <v>41</v>
      </c>
    </row>
    <row r="79" spans="1:3" x14ac:dyDescent="0.2">
      <c r="A79" s="24" t="s">
        <v>67</v>
      </c>
      <c r="B79" s="20">
        <f>B71-B49</f>
        <v>-48.793304745973934</v>
      </c>
      <c r="C79" t="s">
        <v>56</v>
      </c>
    </row>
    <row r="80" spans="1:3" x14ac:dyDescent="0.2">
      <c r="B80" s="4"/>
    </row>
    <row r="81" spans="1:3" x14ac:dyDescent="0.2">
      <c r="A81" s="30" t="s">
        <v>99</v>
      </c>
      <c r="B81" s="4"/>
    </row>
    <row r="82" spans="1:3" x14ac:dyDescent="0.2">
      <c r="A82" s="31" t="s">
        <v>68</v>
      </c>
      <c r="B82" s="7">
        <v>2400</v>
      </c>
      <c r="C82" t="s">
        <v>69</v>
      </c>
    </row>
    <row r="83" spans="1:3" x14ac:dyDescent="0.2">
      <c r="A83" s="31" t="s">
        <v>70</v>
      </c>
      <c r="B83" s="3">
        <v>0</v>
      </c>
      <c r="C83" t="s">
        <v>71</v>
      </c>
    </row>
    <row r="84" spans="1:3" x14ac:dyDescent="0.2">
      <c r="A84" s="31" t="s">
        <v>72</v>
      </c>
      <c r="B84" s="21">
        <v>25</v>
      </c>
      <c r="C84" t="s">
        <v>73</v>
      </c>
    </row>
    <row r="85" spans="1:3" x14ac:dyDescent="0.2">
      <c r="A85" s="31" t="s">
        <v>74</v>
      </c>
      <c r="B85" s="17">
        <v>100</v>
      </c>
      <c r="C85" t="s">
        <v>69</v>
      </c>
    </row>
    <row r="86" spans="1:3" x14ac:dyDescent="0.2">
      <c r="A86" s="31" t="s">
        <v>75</v>
      </c>
      <c r="B86" s="3">
        <f>B85+(B83/B84)</f>
        <v>100</v>
      </c>
      <c r="C86" t="s">
        <v>41</v>
      </c>
    </row>
    <row r="87" spans="1:3" x14ac:dyDescent="0.2">
      <c r="A87" s="31" t="s">
        <v>76</v>
      </c>
      <c r="B87" s="7">
        <v>1000</v>
      </c>
      <c r="C87" t="s">
        <v>69</v>
      </c>
    </row>
    <row r="88" spans="1:3" x14ac:dyDescent="0.2">
      <c r="A88" s="31" t="s">
        <v>77</v>
      </c>
      <c r="B88" s="3">
        <v>0</v>
      </c>
      <c r="C88" t="s">
        <v>71</v>
      </c>
    </row>
    <row r="89" spans="1:3" x14ac:dyDescent="0.2">
      <c r="A89" s="31" t="s">
        <v>78</v>
      </c>
      <c r="B89" s="21">
        <v>50</v>
      </c>
      <c r="C89" t="s">
        <v>73</v>
      </c>
    </row>
    <row r="90" spans="1:3" x14ac:dyDescent="0.2">
      <c r="A90" s="31" t="s">
        <v>79</v>
      </c>
      <c r="B90" s="17">
        <v>0</v>
      </c>
      <c r="C90" t="s">
        <v>69</v>
      </c>
    </row>
    <row r="91" spans="1:3" x14ac:dyDescent="0.2">
      <c r="A91" s="31" t="s">
        <v>80</v>
      </c>
      <c r="B91" s="3">
        <f>B90+(B88/B89)</f>
        <v>0</v>
      </c>
      <c r="C91" t="s">
        <v>41</v>
      </c>
    </row>
    <row r="92" spans="1:3" x14ac:dyDescent="0.2">
      <c r="A92" s="31" t="s">
        <v>81</v>
      </c>
      <c r="B92" s="17">
        <v>1.69</v>
      </c>
      <c r="C92" t="s">
        <v>82</v>
      </c>
    </row>
    <row r="93" spans="1:3" x14ac:dyDescent="0.2">
      <c r="A93" s="31" t="s">
        <v>81</v>
      </c>
      <c r="B93" s="22">
        <f>B92/30/B23</f>
        <v>2.3472222222222223E-3</v>
      </c>
      <c r="C93" t="s">
        <v>37</v>
      </c>
    </row>
    <row r="94" spans="1:3" x14ac:dyDescent="0.2">
      <c r="A94" s="31" t="s">
        <v>83</v>
      </c>
      <c r="B94" s="3">
        <f>B92*12*(B70/1000)</f>
        <v>0</v>
      </c>
      <c r="C94" t="s">
        <v>41</v>
      </c>
    </row>
    <row r="95" spans="1:3" x14ac:dyDescent="0.2">
      <c r="A95" s="31" t="s">
        <v>84</v>
      </c>
      <c r="B95" s="7">
        <v>2400</v>
      </c>
      <c r="C95" t="s">
        <v>69</v>
      </c>
    </row>
    <row r="96" spans="1:3" x14ac:dyDescent="0.2">
      <c r="A96" s="31" t="s">
        <v>85</v>
      </c>
      <c r="B96" s="3">
        <f>B95*(B48)/1000</f>
        <v>117103931.39033744</v>
      </c>
      <c r="C96" t="s">
        <v>71</v>
      </c>
    </row>
    <row r="97" spans="1:3" x14ac:dyDescent="0.2">
      <c r="A97" s="31" t="s">
        <v>86</v>
      </c>
      <c r="B97" s="21">
        <v>25</v>
      </c>
      <c r="C97" t="s">
        <v>73</v>
      </c>
    </row>
    <row r="98" spans="1:3" x14ac:dyDescent="0.2">
      <c r="A98" s="31" t="s">
        <v>87</v>
      </c>
      <c r="B98" s="17">
        <v>100</v>
      </c>
      <c r="C98" t="s">
        <v>69</v>
      </c>
    </row>
    <row r="99" spans="1:3" x14ac:dyDescent="0.2">
      <c r="A99" s="31" t="s">
        <v>88</v>
      </c>
      <c r="B99" s="3">
        <f>B98+(B96/B97)</f>
        <v>4684257.2556134975</v>
      </c>
      <c r="C99" t="s">
        <v>41</v>
      </c>
    </row>
    <row r="100" spans="1:3" x14ac:dyDescent="0.2">
      <c r="A100" s="31" t="s">
        <v>89</v>
      </c>
      <c r="B100" s="7">
        <v>1000</v>
      </c>
      <c r="C100" t="s">
        <v>90</v>
      </c>
    </row>
    <row r="101" spans="1:3" x14ac:dyDescent="0.2">
      <c r="A101" s="31" t="s">
        <v>91</v>
      </c>
      <c r="B101" s="3">
        <f>B100*B37/1000</f>
        <v>633599.16666666663</v>
      </c>
      <c r="C101" t="s">
        <v>71</v>
      </c>
    </row>
    <row r="102" spans="1:3" x14ac:dyDescent="0.2">
      <c r="A102" s="31" t="s">
        <v>92</v>
      </c>
      <c r="B102" s="21">
        <v>15</v>
      </c>
      <c r="C102" t="s">
        <v>73</v>
      </c>
    </row>
    <row r="103" spans="1:3" x14ac:dyDescent="0.2">
      <c r="A103" s="31" t="s">
        <v>93</v>
      </c>
      <c r="B103" s="17">
        <v>100</v>
      </c>
      <c r="C103" t="s">
        <v>90</v>
      </c>
    </row>
    <row r="104" spans="1:3" x14ac:dyDescent="0.2">
      <c r="A104" s="31" t="s">
        <v>94</v>
      </c>
      <c r="B104" s="3">
        <f>B103+(B101/B102)</f>
        <v>42339.944444444445</v>
      </c>
      <c r="C104" t="s">
        <v>41</v>
      </c>
    </row>
    <row r="105" spans="1:3" x14ac:dyDescent="0.2">
      <c r="A105" s="31" t="s">
        <v>95</v>
      </c>
      <c r="B105" s="4">
        <f>SUM(B86,B91,B94,B99,B104)</f>
        <v>4726697.2000579415</v>
      </c>
      <c r="C105" t="s">
        <v>41</v>
      </c>
    </row>
    <row r="106" spans="1:3" x14ac:dyDescent="0.2">
      <c r="A106" s="31"/>
    </row>
    <row r="107" spans="1:3" x14ac:dyDescent="0.2">
      <c r="A107" s="31" t="s">
        <v>103</v>
      </c>
      <c r="B107" s="32">
        <f>B28+B78-B52-B105</f>
        <v>-47582849.953412689</v>
      </c>
      <c r="C107" t="s">
        <v>41</v>
      </c>
    </row>
    <row r="109" spans="1:3" x14ac:dyDescent="0.2">
      <c r="A109" t="s">
        <v>106</v>
      </c>
      <c r="B109" s="32">
        <f>SUM(B83,B88,B96,B101)</f>
        <v>117737530.55700411</v>
      </c>
    </row>
    <row r="110" spans="1:3" x14ac:dyDescent="0.2">
      <c r="A110" t="s">
        <v>107</v>
      </c>
      <c r="B110" s="32">
        <f xml:space="preserve"> 1.17 * B109</f>
        <v>137752910.7516948</v>
      </c>
    </row>
  </sheetData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 r:id="rId1"/>
  <headerFooter alignWithMargins="0">
    <oddHeader>&amp;LDust Elimination Hydro Power Ponds&amp;RNew River Total Flow to Ponds then to Salton Sea</oddHeader>
    <oddFooter>&amp;LSea to Sea Team&amp;CCopyright 2011 Sephton Water Technology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15EAC2019B624CB5B24CF9FF2800B8" ma:contentTypeVersion="12" ma:contentTypeDescription="Create a new document." ma:contentTypeScope="" ma:versionID="95efd9c7d094caec76dfff43f0203ee8">
  <xsd:schema xmlns:xsd="http://www.w3.org/2001/XMLSchema" xmlns:xs="http://www.w3.org/2001/XMLSchema" xmlns:p="http://schemas.microsoft.com/office/2006/metadata/properties" xmlns:ns2="c67f01ef-52a7-44e9-8f2a-d94dec3f814f" xmlns:ns3="bbce72e2-4278-4548-8ef4-8ad0fc682cbb" targetNamespace="http://schemas.microsoft.com/office/2006/metadata/properties" ma:root="true" ma:fieldsID="0768b88caf2e382bd0e7b33f2a6b2063" ns2:_="" ns3:_="">
    <xsd:import namespace="c67f01ef-52a7-44e9-8f2a-d94dec3f814f"/>
    <xsd:import namespace="bbce72e2-4278-4548-8ef4-8ad0fc682c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f01ef-52a7-44e9-8f2a-d94dec3f81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e72e2-4278-4548-8ef4-8ad0fc682c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8788D8-BE8B-4BE9-B920-07F579815893}"/>
</file>

<file path=customXml/itemProps2.xml><?xml version="1.0" encoding="utf-8"?>
<ds:datastoreItem xmlns:ds="http://schemas.openxmlformats.org/officeDocument/2006/customXml" ds:itemID="{DAC5C0A2-DBA2-4B70-A388-B282D44DA4EC}"/>
</file>

<file path=customXml/itemProps3.xml><?xml version="1.0" encoding="utf-8"?>
<ds:datastoreItem xmlns:ds="http://schemas.openxmlformats.org/officeDocument/2006/customXml" ds:itemID="{F7BFA8DB-F6D4-48C0-BC87-2A97C8EC3C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 Import Concept A</vt:lpstr>
      <vt:lpstr>Water Import Concept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Sephton</cp:lastModifiedBy>
  <dcterms:created xsi:type="dcterms:W3CDTF">2015-08-19T16:36:33Z</dcterms:created>
  <dcterms:modified xsi:type="dcterms:W3CDTF">2021-10-12T19:03:13Z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0x0101002415EAC2019B624CB5B24CF9FF2800B8</vt:lpwstr>
  </property>
</Properties>
</file>