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Sephton.SOS-L-004\SaltonSea\Proposals2021\WISER\"/>
    </mc:Choice>
  </mc:AlternateContent>
  <bookViews>
    <workbookView xWindow="0" yWindow="435" windowWidth="22980" windowHeight="9165" activeTab="1"/>
  </bookViews>
  <sheets>
    <sheet name="Water Import Concept A Costs" sheetId="2" r:id="rId1"/>
    <sheet name="Water Import Concept B Costs" sheetId="3" r:id="rId2"/>
    <sheet name="2006 Canal Lining Cost Basis" sheetId="1" r:id="rId3"/>
  </sheets>
  <calcPr calcId="152511"/>
</workbook>
</file>

<file path=xl/calcChain.xml><?xml version="1.0" encoding="utf-8"?>
<calcChain xmlns="http://schemas.openxmlformats.org/spreadsheetml/2006/main">
  <c r="B23" i="3" l="1"/>
  <c r="B25" i="2"/>
  <c r="B28" i="2" s="1"/>
  <c r="B36" i="2" s="1"/>
  <c r="B26" i="2"/>
  <c r="B29" i="2" s="1"/>
  <c r="B21" i="2"/>
  <c r="B19" i="3"/>
  <c r="B26" i="3" l="1"/>
  <c r="B28" i="3" s="1"/>
  <c r="B18" i="3"/>
  <c r="B29" i="3" s="1"/>
  <c r="B10" i="3" l="1"/>
  <c r="B15" i="3" s="1"/>
  <c r="B9" i="3"/>
  <c r="B11" i="3" s="1"/>
  <c r="B12" i="2"/>
  <c r="B5" i="3"/>
  <c r="B4" i="3"/>
  <c r="B6" i="3" s="1"/>
  <c r="B59" i="1"/>
  <c r="B43" i="1"/>
  <c r="B44" i="1" s="1"/>
  <c r="B45" i="1"/>
  <c r="B47" i="1"/>
  <c r="B51" i="1"/>
  <c r="B53" i="1" s="1"/>
  <c r="B57" i="1"/>
  <c r="B56" i="1"/>
  <c r="B52" i="1"/>
  <c r="B49" i="1"/>
  <c r="B48" i="1"/>
  <c r="B41" i="1"/>
  <c r="B18" i="2"/>
  <c r="B19" i="2" s="1"/>
  <c r="B20" i="2" l="1"/>
  <c r="B14" i="3"/>
  <c r="B40" i="1"/>
  <c r="B11" i="2"/>
  <c r="B15" i="2" s="1"/>
  <c r="B33" i="1"/>
  <c r="B29" i="1"/>
  <c r="B25" i="1"/>
  <c r="B21" i="1"/>
  <c r="B4" i="2"/>
  <c r="B6" i="2" s="1"/>
  <c r="B19" i="1"/>
  <c r="B23" i="1"/>
  <c r="B25" i="3" l="1"/>
  <c r="B30" i="3" s="1"/>
  <c r="B31" i="2"/>
  <c r="B33" i="2" s="1"/>
  <c r="B30" i="2"/>
  <c r="B32" i="2" s="1"/>
  <c r="B35" i="2" l="1"/>
  <c r="B34" i="2"/>
  <c r="B11" i="1" l="1"/>
  <c r="B14" i="1" l="1"/>
  <c r="B16" i="1" s="1"/>
  <c r="B20" i="1" l="1"/>
  <c r="B28" i="1"/>
  <c r="B24" i="1"/>
  <c r="B32" i="1"/>
  <c r="B35" i="1" l="1"/>
  <c r="B5" i="2"/>
  <c r="B16" i="2" s="1"/>
  <c r="B37" i="2" l="1"/>
  <c r="B38" i="2" l="1"/>
</calcChain>
</file>

<file path=xl/sharedStrings.xml><?xml version="1.0" encoding="utf-8"?>
<sst xmlns="http://schemas.openxmlformats.org/spreadsheetml/2006/main" count="193" uniqueCount="83">
  <si>
    <t>Coachella Canal 2006 Lined Section</t>
  </si>
  <si>
    <t>Bottom width</t>
  </si>
  <si>
    <t>Slope of sides</t>
  </si>
  <si>
    <t>Prior annual seepage</t>
  </si>
  <si>
    <t>Cost to build</t>
  </si>
  <si>
    <t>Cost per mile</t>
  </si>
  <si>
    <t>miles</t>
  </si>
  <si>
    <t>feet</t>
  </si>
  <si>
    <t>to 1</t>
  </si>
  <si>
    <t>AFY</t>
  </si>
  <si>
    <t>Water Depth first 16.1 miles</t>
  </si>
  <si>
    <t xml:space="preserve"> Water Depth second 32.2 miles</t>
  </si>
  <si>
    <t>inches</t>
  </si>
  <si>
    <t>Lined channel capacity</t>
  </si>
  <si>
    <t>CFS</t>
  </si>
  <si>
    <t>Annual flow capacity</t>
  </si>
  <si>
    <t>Length of 2006 concrete lined section</t>
  </si>
  <si>
    <t>Minimum drop required for flow (Coachella basis)</t>
  </si>
  <si>
    <t>Cost of lined Sea to Sea canal (desert route, 2006 Coachella Canal basis)</t>
  </si>
  <si>
    <t>Cost for Sea of Cortez to south Laguna Salada (2006 Coachella Canal basis)</t>
  </si>
  <si>
    <t>Total capital cost of seaweater canal from Sea of Cortez to Salton Sea</t>
  </si>
  <si>
    <t>Minimum drop required for flow (Coachella Canal basis, US side)</t>
  </si>
  <si>
    <t>(basis of cost estimation for Sea to Sea canal)</t>
  </si>
  <si>
    <t>Capital needs for construction when agreements and permits are ready</t>
  </si>
  <si>
    <t>concrete lining thickness</t>
  </si>
  <si>
    <t>Maximum elevation to cross border (west of signal mountain)</t>
  </si>
  <si>
    <t>Actual net drop sea level to Salton Sea (2015 Sea levels)</t>
  </si>
  <si>
    <t>(in 2018 $)</t>
  </si>
  <si>
    <t>Bond interest rate</t>
  </si>
  <si>
    <t>Bond term</t>
  </si>
  <si>
    <t>Seawater import annual quantity</t>
  </si>
  <si>
    <t>years</t>
  </si>
  <si>
    <t>per AF</t>
  </si>
  <si>
    <t>Operation and Maintenance cost Mexico Side</t>
  </si>
  <si>
    <t>Operation and Maintenance cost US Side</t>
  </si>
  <si>
    <t>Annual payment on canal bond US side</t>
  </si>
  <si>
    <t>Annual payment on canal bond Mexico side</t>
  </si>
  <si>
    <t>O&amp;M cost per AF delivered annually Mexico side</t>
  </si>
  <si>
    <t>O&amp;M cost per AF delivered annually US side</t>
  </si>
  <si>
    <t xml:space="preserve">Total imported seawater cost per AF </t>
  </si>
  <si>
    <t>Cost of seawater import US side</t>
  </si>
  <si>
    <t>Cost of seawater import Mexico side</t>
  </si>
  <si>
    <t>Annualized capital cost US side conveyances</t>
  </si>
  <si>
    <t>Annualized capital cost Mexico side conveyances</t>
  </si>
  <si>
    <t>Annualized capital cost US side pumps, hydro-turbines, transmission</t>
  </si>
  <si>
    <t>Annualized capital cost Mexico side pumps, hydro-turbines, transmission</t>
  </si>
  <si>
    <t>Annual payment on pump, hydro-turbine, transmission bond Mexico side</t>
  </si>
  <si>
    <t>Annual payment on pump, hydro-turbine, transmission  bond US side</t>
  </si>
  <si>
    <t>Cost of Pumps, Energy Recovery Hydro-Tubines, and Transmission (900 KAFY)</t>
  </si>
  <si>
    <t>Top width</t>
  </si>
  <si>
    <t>inflation rate 2006 to 2021</t>
  </si>
  <si>
    <t>Sea of Cortez to Coyote Canal, lined canal</t>
  </si>
  <si>
    <t>Coyote Canal to south Laguna Salada, lined canal</t>
  </si>
  <si>
    <t>South Laguna Salada to border</t>
  </si>
  <si>
    <t>Border to Salton Sea (desert route)</t>
  </si>
  <si>
    <t>Cost per mile 2021</t>
  </si>
  <si>
    <t>Sea to Sea Concrete Lined Canal Cost Estimates (Water Import Concept A)</t>
  </si>
  <si>
    <t>Border to Salton Sea (desert route, 900,000 AFY capacity)</t>
  </si>
  <si>
    <t>(in 2021 $)</t>
  </si>
  <si>
    <t>Sea of Cortez to Border lined canal (900,000 AFY capacity)</t>
  </si>
  <si>
    <t>Lined Seawater Canal cost Mexico Side</t>
  </si>
  <si>
    <t>Lined Seawater Canal cost Sea to Sea US Side</t>
  </si>
  <si>
    <t>annual</t>
  </si>
  <si>
    <t>Net O&amp;M Cost for  Pumps, Energy Recovery Hydro-Tubines, and Transmission</t>
  </si>
  <si>
    <t>Maximum canal cost Sea to Sea (Concept A canals)</t>
  </si>
  <si>
    <t>Maximum canal cost Sea to Sea (Concept B canals)</t>
  </si>
  <si>
    <t>Coyote Canal to Cerro Prieto, lined seawater canal</t>
  </si>
  <si>
    <t>Sea of Cortez to Coyote Canal, lined seawater canal</t>
  </si>
  <si>
    <t>Cerro Prieto to Mexicali water facility, lined potable canal</t>
  </si>
  <si>
    <t>Cerro Prieto to Mexicali east canals, lined potable canal</t>
  </si>
  <si>
    <t>Mexicali water facility to New River, unlined potable canal</t>
  </si>
  <si>
    <t>Water Import Concept A</t>
  </si>
  <si>
    <t>Water Import Concept B</t>
  </si>
  <si>
    <t>Lined Potable Water Canal cost to Border, Mexico Side</t>
  </si>
  <si>
    <t>Maximum elevation to Cerro Prieto</t>
  </si>
  <si>
    <t>Minimum drop required for flow (Coachella Canal basis)</t>
  </si>
  <si>
    <t>Sea of Cortez to Cerro Prieto lined seawater canal (900,000 AFY capacity)</t>
  </si>
  <si>
    <t>Cost of potable water canals Cerro Prieto to Border (2006 Coachella Canal basis)</t>
  </si>
  <si>
    <t>Cost of Pumps and Transmission (900 KAFY)</t>
  </si>
  <si>
    <t>Net O&amp;M Cost for  Pumps and Transmission</t>
  </si>
  <si>
    <t>Annual payment on pump transmission bond Mexico side</t>
  </si>
  <si>
    <t>Annualized capital cost Mexico side pumps and transmission</t>
  </si>
  <si>
    <t>Tide Driven Seawater Intake and Slow Sand Filter cost Mexico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</si>
</sst>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51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3" fontId="0" fillId="0" borderId="0" xfId="0" applyNumberFormat="1" applyFill="1"/>
    <xf numFmtId="0" fontId="0" fillId="0" borderId="0" xfId="0" applyFill="1"/>
    <xf numFmtId="165" fontId="0" fillId="0" borderId="0" xfId="0" applyNumberFormat="1"/>
    <xf numFmtId="0" fontId="1" fillId="0" borderId="0" xfId="0" applyFont="1"/>
    <xf numFmtId="165" fontId="1" fillId="0" borderId="0" xfId="0" applyNumberFormat="1" applyFont="1"/>
    <xf numFmtId="10" fontId="0" fillId="2" borderId="0" xfId="0" applyNumberFormat="1" applyFill="1"/>
    <xf numFmtId="3" fontId="0" fillId="2" borderId="0" xfId="0" applyNumberFormat="1" applyFill="1"/>
    <xf numFmtId="164" fontId="0" fillId="3" borderId="0" xfId="0" applyNumberFormat="1" applyFill="1"/>
    <xf numFmtId="0" fontId="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17" workbookViewId="0">
      <selection activeCell="F36" sqref="A36:F38"/>
    </sheetView>
  </sheetViews>
  <sheetFormatPr defaultRowHeight="15" x14ac:dyDescent="0.25"/>
  <cols>
    <col min="1" max="1" width="69.140625" customWidth="1"/>
    <col min="2" max="2" width="17.5703125" bestFit="1" customWidth="1"/>
  </cols>
  <sheetData>
    <row r="1" spans="1:3" x14ac:dyDescent="0.25">
      <c r="A1" s="7" t="s">
        <v>56</v>
      </c>
    </row>
    <row r="2" spans="1:3" x14ac:dyDescent="0.25">
      <c r="A2" t="s">
        <v>23</v>
      </c>
    </row>
    <row r="4" spans="1:3" x14ac:dyDescent="0.25">
      <c r="A4" t="s">
        <v>57</v>
      </c>
      <c r="B4">
        <f xml:space="preserve"> '2006 Canal Lining Cost Basis'!B19</f>
        <v>55.370000000000005</v>
      </c>
      <c r="C4" t="s">
        <v>6</v>
      </c>
    </row>
    <row r="5" spans="1:3" x14ac:dyDescent="0.25">
      <c r="A5" t="s">
        <v>18</v>
      </c>
      <c r="B5" s="6">
        <f xml:space="preserve"> '2006 Canal Lining Cost Basis'!B20</f>
        <v>257536944.00000003</v>
      </c>
      <c r="C5" t="s">
        <v>58</v>
      </c>
    </row>
    <row r="6" spans="1:3" x14ac:dyDescent="0.25">
      <c r="A6" t="s">
        <v>21</v>
      </c>
      <c r="B6">
        <f xml:space="preserve"> 1.5 * B4</f>
        <v>83.055000000000007</v>
      </c>
      <c r="C6" t="s">
        <v>7</v>
      </c>
    </row>
    <row r="7" spans="1:3" x14ac:dyDescent="0.25">
      <c r="A7" t="s">
        <v>25</v>
      </c>
      <c r="B7" s="1">
        <v>300</v>
      </c>
      <c r="C7" t="s">
        <v>7</v>
      </c>
    </row>
    <row r="8" spans="1:3" x14ac:dyDescent="0.25">
      <c r="A8" t="s">
        <v>26</v>
      </c>
      <c r="B8">
        <v>238</v>
      </c>
      <c r="C8" t="s">
        <v>7</v>
      </c>
    </row>
    <row r="10" spans="1:3" x14ac:dyDescent="0.25">
      <c r="A10" t="s">
        <v>59</v>
      </c>
      <c r="B10">
        <v>64</v>
      </c>
      <c r="C10" t="s">
        <v>6</v>
      </c>
    </row>
    <row r="11" spans="1:3" x14ac:dyDescent="0.25">
      <c r="A11" t="s">
        <v>19</v>
      </c>
      <c r="B11" s="6">
        <f xml:space="preserve">   '2006 Canal Lining Cost Basis'!B24 + '2006 Canal Lining Cost Basis'!B28 + '2006 Canal Lining Cost Basis'!B32</f>
        <v>635214384</v>
      </c>
      <c r="C11" t="s">
        <v>58</v>
      </c>
    </row>
    <row r="12" spans="1:3" x14ac:dyDescent="0.25">
      <c r="A12" t="s">
        <v>21</v>
      </c>
      <c r="B12">
        <f xml:space="preserve"> 1.5 * B10</f>
        <v>96</v>
      </c>
      <c r="C12" t="s">
        <v>7</v>
      </c>
    </row>
    <row r="14" spans="1:3" x14ac:dyDescent="0.25">
      <c r="A14" t="s">
        <v>82</v>
      </c>
      <c r="B14" s="6">
        <v>232840216.63100055</v>
      </c>
      <c r="C14" t="s">
        <v>58</v>
      </c>
    </row>
    <row r="15" spans="1:3" x14ac:dyDescent="0.25">
      <c r="A15" t="s">
        <v>60</v>
      </c>
      <c r="B15" s="6">
        <f xml:space="preserve"> SUM(B11)</f>
        <v>635214384</v>
      </c>
      <c r="C15" t="s">
        <v>58</v>
      </c>
    </row>
    <row r="16" spans="1:3" x14ac:dyDescent="0.25">
      <c r="A16" t="s">
        <v>61</v>
      </c>
      <c r="B16" s="6">
        <f xml:space="preserve"> B5</f>
        <v>257536944.00000003</v>
      </c>
      <c r="C16" t="s">
        <v>58</v>
      </c>
    </row>
    <row r="17" spans="1:3" x14ac:dyDescent="0.25">
      <c r="A17" t="s">
        <v>48</v>
      </c>
      <c r="B17" s="6">
        <v>395335917.25</v>
      </c>
      <c r="C17" t="s">
        <v>58</v>
      </c>
    </row>
    <row r="18" spans="1:3" x14ac:dyDescent="0.25">
      <c r="A18" t="s">
        <v>63</v>
      </c>
      <c r="B18" s="6">
        <f xml:space="preserve"> 1.17 * 56774525.6504629</f>
        <v>66426195.011041589</v>
      </c>
      <c r="C18" t="s">
        <v>58</v>
      </c>
    </row>
    <row r="19" spans="1:3" x14ac:dyDescent="0.25">
      <c r="A19" t="s">
        <v>33</v>
      </c>
      <c r="B19" s="6">
        <f xml:space="preserve"> B18 / 2</f>
        <v>33213097.505520795</v>
      </c>
      <c r="C19" t="s">
        <v>62</v>
      </c>
    </row>
    <row r="20" spans="1:3" x14ac:dyDescent="0.25">
      <c r="A20" t="s">
        <v>34</v>
      </c>
      <c r="B20" s="2">
        <f xml:space="preserve"> B18 / 2</f>
        <v>33213097.505520795</v>
      </c>
      <c r="C20" t="s">
        <v>62</v>
      </c>
    </row>
    <row r="21" spans="1:3" x14ac:dyDescent="0.25">
      <c r="A21" s="7" t="s">
        <v>20</v>
      </c>
      <c r="B21" s="8">
        <f xml:space="preserve"> SUM(B14:B17)</f>
        <v>1520927461.8810005</v>
      </c>
      <c r="C21" s="7" t="s">
        <v>58</v>
      </c>
    </row>
    <row r="22" spans="1:3" x14ac:dyDescent="0.25">
      <c r="A22" s="7"/>
      <c r="B22" s="8"/>
      <c r="C22" s="7"/>
    </row>
    <row r="23" spans="1:3" x14ac:dyDescent="0.25">
      <c r="A23" t="s">
        <v>28</v>
      </c>
      <c r="B23" s="9">
        <v>0.04</v>
      </c>
    </row>
    <row r="24" spans="1:3" x14ac:dyDescent="0.25">
      <c r="A24" t="s">
        <v>29</v>
      </c>
      <c r="B24" s="10">
        <v>30</v>
      </c>
      <c r="C24" t="s">
        <v>31</v>
      </c>
    </row>
    <row r="25" spans="1:3" x14ac:dyDescent="0.25">
      <c r="A25" t="s">
        <v>36</v>
      </c>
      <c r="B25" s="11">
        <f xml:space="preserve"> 12 * (B$23/12*SUM(B$14:B$15))/(1-POWER(B$23/12+1,-B$24*12))</f>
        <v>49730705.236847386</v>
      </c>
    </row>
    <row r="26" spans="1:3" x14ac:dyDescent="0.25">
      <c r="A26" t="s">
        <v>35</v>
      </c>
      <c r="B26" s="11">
        <f xml:space="preserve"> 12 * (B$23/12*B$16)/(1-POWER(B$23/12+1,-B$24*12))</f>
        <v>14754249.145563576</v>
      </c>
    </row>
    <row r="27" spans="1:3" x14ac:dyDescent="0.25">
      <c r="A27" t="s">
        <v>30</v>
      </c>
      <c r="B27" s="1">
        <v>900000</v>
      </c>
      <c r="C27" t="s">
        <v>9</v>
      </c>
    </row>
    <row r="28" spans="1:3" x14ac:dyDescent="0.25">
      <c r="A28" t="s">
        <v>43</v>
      </c>
      <c r="B28" s="2">
        <f xml:space="preserve"> B25 / B$27</f>
        <v>55.256339152052654</v>
      </c>
      <c r="C28" t="s">
        <v>32</v>
      </c>
    </row>
    <row r="29" spans="1:3" x14ac:dyDescent="0.25">
      <c r="A29" t="s">
        <v>42</v>
      </c>
      <c r="B29" s="2">
        <f xml:space="preserve"> B26 / B$27</f>
        <v>16.393610161737307</v>
      </c>
      <c r="C29" t="s">
        <v>32</v>
      </c>
    </row>
    <row r="30" spans="1:3" x14ac:dyDescent="0.25">
      <c r="A30" t="s">
        <v>46</v>
      </c>
      <c r="B30" s="11">
        <f xml:space="preserve"> 12 * (B$23/12*B$17)/(1-POWER(B$23/12+1,-B$24*12)) / 2</f>
        <v>11324364.824520875</v>
      </c>
    </row>
    <row r="31" spans="1:3" x14ac:dyDescent="0.25">
      <c r="A31" t="s">
        <v>47</v>
      </c>
      <c r="B31" s="11">
        <f xml:space="preserve"> 12 * (B$23/12*B$17)/(1-POWER(B$23/12+1,-B$24*12)) /2</f>
        <v>11324364.824520875</v>
      </c>
    </row>
    <row r="32" spans="1:3" x14ac:dyDescent="0.25">
      <c r="A32" t="s">
        <v>45</v>
      </c>
      <c r="B32" s="2">
        <f xml:space="preserve"> B30 / B$27</f>
        <v>12.582627582800972</v>
      </c>
      <c r="C32" t="s">
        <v>32</v>
      </c>
    </row>
    <row r="33" spans="1:3" x14ac:dyDescent="0.25">
      <c r="A33" t="s">
        <v>44</v>
      </c>
      <c r="B33" s="2">
        <f xml:space="preserve"> B31 / B$27</f>
        <v>12.582627582800972</v>
      </c>
      <c r="C33" t="s">
        <v>32</v>
      </c>
    </row>
    <row r="34" spans="1:3" x14ac:dyDescent="0.25">
      <c r="A34" t="s">
        <v>37</v>
      </c>
      <c r="B34" s="2">
        <f xml:space="preserve"> B19 / B27</f>
        <v>36.903441672800881</v>
      </c>
      <c r="C34" t="s">
        <v>32</v>
      </c>
    </row>
    <row r="35" spans="1:3" x14ac:dyDescent="0.25">
      <c r="A35" t="s">
        <v>38</v>
      </c>
      <c r="B35" s="2">
        <f xml:space="preserve"> B20 / B27</f>
        <v>36.903441672800881</v>
      </c>
      <c r="C35" t="s">
        <v>32</v>
      </c>
    </row>
    <row r="36" spans="1:3" x14ac:dyDescent="0.25">
      <c r="A36" t="s">
        <v>41</v>
      </c>
      <c r="B36" s="2">
        <f xml:space="preserve"> SUM(B28,B32,B34)</f>
        <v>104.74240840765451</v>
      </c>
      <c r="C36" t="s">
        <v>32</v>
      </c>
    </row>
    <row r="37" spans="1:3" x14ac:dyDescent="0.25">
      <c r="A37" t="s">
        <v>40</v>
      </c>
      <c r="B37" s="2">
        <f xml:space="preserve"> SUM(B29,B33,B35)</f>
        <v>65.879679417339162</v>
      </c>
      <c r="C37" t="s">
        <v>32</v>
      </c>
    </row>
    <row r="38" spans="1:3" x14ac:dyDescent="0.25">
      <c r="A38" t="s">
        <v>39</v>
      </c>
      <c r="B38" s="2">
        <f xml:space="preserve"> SUM(B28:B29,B34:B37)</f>
        <v>316.07892048438538</v>
      </c>
      <c r="C38" t="s">
        <v>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9" workbookViewId="0">
      <selection activeCell="F24" sqref="F24"/>
    </sheetView>
  </sheetViews>
  <sheetFormatPr defaultRowHeight="15" x14ac:dyDescent="0.25"/>
  <cols>
    <col min="1" max="1" width="70.5703125" customWidth="1"/>
    <col min="2" max="2" width="17.5703125" bestFit="1" customWidth="1"/>
  </cols>
  <sheetData>
    <row r="1" spans="1:3" x14ac:dyDescent="0.25">
      <c r="A1" s="7" t="s">
        <v>56</v>
      </c>
    </row>
    <row r="2" spans="1:3" x14ac:dyDescent="0.25">
      <c r="A2" t="s">
        <v>23</v>
      </c>
    </row>
    <row r="4" spans="1:3" x14ac:dyDescent="0.25">
      <c r="A4" t="s">
        <v>76</v>
      </c>
      <c r="B4">
        <f xml:space="preserve"> '2006 Canal Lining Cost Basis'!B51 + '2006 Canal Lining Cost Basis'!B55</f>
        <v>107.07</v>
      </c>
      <c r="C4" t="s">
        <v>6</v>
      </c>
    </row>
    <row r="5" spans="1:3" x14ac:dyDescent="0.25">
      <c r="A5" t="s">
        <v>76</v>
      </c>
      <c r="B5" s="6">
        <f xml:space="preserve"> '2006 Canal Lining Cost Basis'!B52 +  '2006 Canal Lining Cost Basis'!B56</f>
        <v>498003984</v>
      </c>
      <c r="C5" t="s">
        <v>58</v>
      </c>
    </row>
    <row r="6" spans="1:3" x14ac:dyDescent="0.25">
      <c r="A6" t="s">
        <v>75</v>
      </c>
      <c r="B6">
        <f xml:space="preserve"> 1.5 * B4</f>
        <v>160.60499999999999</v>
      </c>
      <c r="C6" t="s">
        <v>7</v>
      </c>
    </row>
    <row r="7" spans="1:3" x14ac:dyDescent="0.25">
      <c r="A7" t="s">
        <v>74</v>
      </c>
      <c r="B7" s="1">
        <v>40</v>
      </c>
      <c r="C7" t="s">
        <v>7</v>
      </c>
    </row>
    <row r="9" spans="1:3" x14ac:dyDescent="0.25">
      <c r="A9" t="s">
        <v>77</v>
      </c>
      <c r="B9">
        <f xml:space="preserve"> '2006 Canal Lining Cost Basis'!B39 +  '2006 Canal Lining Cost Basis'!B43 +  '2006 Canal Lining Cost Basis'!B47</f>
        <v>68.72</v>
      </c>
      <c r="C9" t="s">
        <v>6</v>
      </c>
    </row>
    <row r="10" spans="1:3" x14ac:dyDescent="0.25">
      <c r="A10" t="s">
        <v>77</v>
      </c>
      <c r="B10" s="6">
        <f xml:space="preserve"> '2006 Canal Lining Cost Basis'!B40 +  '2006 Canal Lining Cost Basis'!B44 +  '2006 Canal Lining Cost Basis'!B48</f>
        <v>319630464</v>
      </c>
      <c r="C10" t="s">
        <v>58</v>
      </c>
    </row>
    <row r="11" spans="1:3" x14ac:dyDescent="0.25">
      <c r="A11" t="s">
        <v>75</v>
      </c>
      <c r="B11">
        <f xml:space="preserve"> 1.5 * B9</f>
        <v>103.08</v>
      </c>
      <c r="C11" t="s">
        <v>7</v>
      </c>
    </row>
    <row r="13" spans="1:3" x14ac:dyDescent="0.25">
      <c r="A13" t="s">
        <v>82</v>
      </c>
      <c r="B13" s="6">
        <v>232840216.63100055</v>
      </c>
      <c r="C13" t="s">
        <v>58</v>
      </c>
    </row>
    <row r="14" spans="1:3" x14ac:dyDescent="0.25">
      <c r="A14" t="s">
        <v>60</v>
      </c>
      <c r="B14" s="6">
        <f xml:space="preserve"> SUM(B5)</f>
        <v>498003984</v>
      </c>
      <c r="C14" t="s">
        <v>58</v>
      </c>
    </row>
    <row r="15" spans="1:3" x14ac:dyDescent="0.25">
      <c r="A15" t="s">
        <v>73</v>
      </c>
      <c r="B15" s="6">
        <f xml:space="preserve"> B10</f>
        <v>319630464</v>
      </c>
      <c r="C15" t="s">
        <v>58</v>
      </c>
    </row>
    <row r="16" spans="1:3" x14ac:dyDescent="0.25">
      <c r="A16" t="s">
        <v>78</v>
      </c>
      <c r="B16" s="6">
        <v>137752911</v>
      </c>
      <c r="C16" t="s">
        <v>58</v>
      </c>
    </row>
    <row r="17" spans="1:3" x14ac:dyDescent="0.25">
      <c r="A17" t="s">
        <v>79</v>
      </c>
      <c r="B17" s="6">
        <v>47582850</v>
      </c>
      <c r="C17" t="s">
        <v>58</v>
      </c>
    </row>
    <row r="18" spans="1:3" x14ac:dyDescent="0.25">
      <c r="A18" t="s">
        <v>33</v>
      </c>
      <c r="B18" s="6">
        <f xml:space="preserve"> B17</f>
        <v>47582850</v>
      </c>
      <c r="C18" t="s">
        <v>62</v>
      </c>
    </row>
    <row r="19" spans="1:3" x14ac:dyDescent="0.25">
      <c r="A19" s="7" t="s">
        <v>20</v>
      </c>
      <c r="B19" s="8">
        <f xml:space="preserve"> SUM(B13:B16)</f>
        <v>1188227575.6310005</v>
      </c>
      <c r="C19" s="7" t="s">
        <v>58</v>
      </c>
    </row>
    <row r="20" spans="1:3" x14ac:dyDescent="0.25">
      <c r="A20" s="7"/>
      <c r="B20" s="8"/>
      <c r="C20" s="7"/>
    </row>
    <row r="21" spans="1:3" x14ac:dyDescent="0.25">
      <c r="A21" t="s">
        <v>28</v>
      </c>
      <c r="B21" s="9">
        <v>0.04</v>
      </c>
    </row>
    <row r="22" spans="1:3" x14ac:dyDescent="0.25">
      <c r="A22" t="s">
        <v>29</v>
      </c>
      <c r="B22" s="10">
        <v>30</v>
      </c>
      <c r="C22" t="s">
        <v>31</v>
      </c>
    </row>
    <row r="23" spans="1:3" x14ac:dyDescent="0.25">
      <c r="A23" t="s">
        <v>36</v>
      </c>
      <c r="B23" s="11">
        <f xml:space="preserve"> 12 * (B$21/12*SUM(B$13:B$14))/(1-POWER(B$21/12+1,-B$22*12))</f>
        <v>41869943.998015426</v>
      </c>
    </row>
    <row r="24" spans="1:3" x14ac:dyDescent="0.25">
      <c r="A24" t="s">
        <v>30</v>
      </c>
      <c r="B24" s="1">
        <v>900000</v>
      </c>
      <c r="C24" t="s">
        <v>9</v>
      </c>
    </row>
    <row r="25" spans="1:3" x14ac:dyDescent="0.25">
      <c r="A25" t="s">
        <v>43</v>
      </c>
      <c r="B25" s="2">
        <f xml:space="preserve"> B23 / B$24</f>
        <v>46.522159997794915</v>
      </c>
      <c r="C25" t="s">
        <v>32</v>
      </c>
    </row>
    <row r="26" spans="1:3" x14ac:dyDescent="0.25">
      <c r="A26" t="s">
        <v>80</v>
      </c>
      <c r="B26" s="11">
        <f xml:space="preserve"> 12 * (B$21/12*B$16)/(1-POWER(B$21/12+1,-B$22*12))</f>
        <v>7891841.6047549481</v>
      </c>
    </row>
    <row r="27" spans="1:3" x14ac:dyDescent="0.25">
      <c r="A27" t="s">
        <v>47</v>
      </c>
      <c r="B27" s="11">
        <v>0</v>
      </c>
    </row>
    <row r="28" spans="1:3" x14ac:dyDescent="0.25">
      <c r="A28" t="s">
        <v>81</v>
      </c>
      <c r="B28" s="2">
        <f xml:space="preserve"> B26 / B$24</f>
        <v>8.7687128941721646</v>
      </c>
      <c r="C28" t="s">
        <v>32</v>
      </c>
    </row>
    <row r="29" spans="1:3" x14ac:dyDescent="0.25">
      <c r="A29" t="s">
        <v>37</v>
      </c>
      <c r="B29" s="2">
        <f xml:space="preserve"> B18 / B24</f>
        <v>52.869833333333332</v>
      </c>
      <c r="C29" t="s">
        <v>32</v>
      </c>
    </row>
    <row r="30" spans="1:3" x14ac:dyDescent="0.25">
      <c r="A30" t="s">
        <v>41</v>
      </c>
      <c r="B30" s="2">
        <f xml:space="preserve"> SUM(B25,B28,B29)</f>
        <v>108.16070622530042</v>
      </c>
      <c r="C30" t="s">
        <v>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30" workbookViewId="0">
      <selection activeCell="B40" sqref="B40"/>
    </sheetView>
  </sheetViews>
  <sheetFormatPr defaultRowHeight="15" x14ac:dyDescent="0.25"/>
  <cols>
    <col min="1" max="1" width="52.7109375" customWidth="1"/>
    <col min="2" max="2" width="19.42578125" bestFit="1" customWidth="1"/>
    <col min="5" max="5" width="10.85546875" bestFit="1" customWidth="1"/>
    <col min="8" max="8" width="11.7109375" customWidth="1"/>
  </cols>
  <sheetData>
    <row r="1" spans="1:8" x14ac:dyDescent="0.25">
      <c r="A1" s="7" t="s">
        <v>0</v>
      </c>
    </row>
    <row r="2" spans="1:8" x14ac:dyDescent="0.25">
      <c r="A2" s="7" t="s">
        <v>22</v>
      </c>
    </row>
    <row r="3" spans="1:8" x14ac:dyDescent="0.25">
      <c r="A3" t="s">
        <v>16</v>
      </c>
      <c r="B3">
        <v>35</v>
      </c>
      <c r="C3" t="s">
        <v>6</v>
      </c>
    </row>
    <row r="4" spans="1:8" x14ac:dyDescent="0.25">
      <c r="A4" t="s">
        <v>10</v>
      </c>
      <c r="B4">
        <v>10.4</v>
      </c>
      <c r="C4" t="s">
        <v>7</v>
      </c>
    </row>
    <row r="5" spans="1:8" x14ac:dyDescent="0.25">
      <c r="A5" t="s">
        <v>11</v>
      </c>
      <c r="B5">
        <v>12</v>
      </c>
      <c r="C5" t="s">
        <v>7</v>
      </c>
    </row>
    <row r="6" spans="1:8" x14ac:dyDescent="0.25">
      <c r="A6" t="s">
        <v>1</v>
      </c>
      <c r="B6">
        <v>16</v>
      </c>
      <c r="C6" t="s">
        <v>7</v>
      </c>
    </row>
    <row r="7" spans="1:8" x14ac:dyDescent="0.25">
      <c r="A7" t="s">
        <v>49</v>
      </c>
      <c r="B7">
        <v>150</v>
      </c>
      <c r="C7" t="s">
        <v>7</v>
      </c>
    </row>
    <row r="8" spans="1:8" x14ac:dyDescent="0.25">
      <c r="A8" t="s">
        <v>2</v>
      </c>
      <c r="B8">
        <v>1.5</v>
      </c>
      <c r="C8" t="s">
        <v>8</v>
      </c>
    </row>
    <row r="9" spans="1:8" x14ac:dyDescent="0.25">
      <c r="A9" t="s">
        <v>24</v>
      </c>
      <c r="B9">
        <v>3</v>
      </c>
      <c r="C9" t="s">
        <v>12</v>
      </c>
    </row>
    <row r="10" spans="1:8" x14ac:dyDescent="0.25">
      <c r="A10" t="s">
        <v>13</v>
      </c>
      <c r="B10" s="1">
        <v>1300</v>
      </c>
      <c r="C10" t="s">
        <v>14</v>
      </c>
      <c r="E10" s="4"/>
      <c r="F10" s="5"/>
      <c r="G10" s="5"/>
      <c r="H10" s="4"/>
    </row>
    <row r="11" spans="1:8" x14ac:dyDescent="0.25">
      <c r="A11" t="s">
        <v>15</v>
      </c>
      <c r="B11" s="1">
        <f xml:space="preserve"> B10 /43560 * 60 * 60 * 24 * 365</f>
        <v>941157.02479338832</v>
      </c>
      <c r="C11" t="s">
        <v>9</v>
      </c>
      <c r="E11" s="1"/>
      <c r="H11" s="1"/>
    </row>
    <row r="12" spans="1:8" x14ac:dyDescent="0.25">
      <c r="A12" t="s">
        <v>3</v>
      </c>
      <c r="B12" s="1">
        <v>32350</v>
      </c>
      <c r="C12" t="s">
        <v>9</v>
      </c>
      <c r="E12" s="1"/>
      <c r="H12" s="1"/>
    </row>
    <row r="13" spans="1:8" x14ac:dyDescent="0.25">
      <c r="A13" t="s">
        <v>4</v>
      </c>
      <c r="B13" s="2">
        <v>119700000</v>
      </c>
      <c r="E13" s="1"/>
      <c r="H13" s="1"/>
    </row>
    <row r="14" spans="1:8" x14ac:dyDescent="0.25">
      <c r="A14" t="s">
        <v>5</v>
      </c>
      <c r="B14" s="2">
        <f xml:space="preserve"> B13/B3</f>
        <v>3420000</v>
      </c>
    </row>
    <row r="15" spans="1:8" x14ac:dyDescent="0.25">
      <c r="A15" t="s">
        <v>50</v>
      </c>
      <c r="B15" s="3">
        <v>1.36</v>
      </c>
    </row>
    <row r="16" spans="1:8" x14ac:dyDescent="0.25">
      <c r="A16" t="s">
        <v>55</v>
      </c>
      <c r="B16" s="2">
        <f xml:space="preserve"> B14 * B15</f>
        <v>4651200</v>
      </c>
    </row>
    <row r="17" spans="1:3" x14ac:dyDescent="0.25">
      <c r="B17" s="2"/>
    </row>
    <row r="18" spans="1:3" x14ac:dyDescent="0.25">
      <c r="A18" s="12" t="s">
        <v>71</v>
      </c>
    </row>
    <row r="19" spans="1:3" x14ac:dyDescent="0.25">
      <c r="A19" t="s">
        <v>54</v>
      </c>
      <c r="B19">
        <f xml:space="preserve"> 16.3 + 34.4 + 4.67</f>
        <v>55.370000000000005</v>
      </c>
      <c r="C19" t="s">
        <v>6</v>
      </c>
    </row>
    <row r="20" spans="1:3" x14ac:dyDescent="0.25">
      <c r="A20" t="s">
        <v>54</v>
      </c>
      <c r="B20" s="2">
        <f xml:space="preserve"> B$16 * B19</f>
        <v>257536944.00000003</v>
      </c>
      <c r="C20" t="s">
        <v>27</v>
      </c>
    </row>
    <row r="21" spans="1:3" x14ac:dyDescent="0.25">
      <c r="A21" t="s">
        <v>17</v>
      </c>
      <c r="B21">
        <f xml:space="preserve"> 1.5 * B19</f>
        <v>83.055000000000007</v>
      </c>
      <c r="C21" t="s">
        <v>7</v>
      </c>
    </row>
    <row r="23" spans="1:3" x14ac:dyDescent="0.25">
      <c r="A23" t="s">
        <v>53</v>
      </c>
      <c r="B23">
        <f xml:space="preserve"> 26.7 + 5.22 + 6.48 + 1.27</f>
        <v>39.67</v>
      </c>
      <c r="C23" t="s">
        <v>6</v>
      </c>
    </row>
    <row r="24" spans="1:3" x14ac:dyDescent="0.25">
      <c r="A24" t="s">
        <v>53</v>
      </c>
      <c r="B24" s="2">
        <f xml:space="preserve"> B$16 * B23</f>
        <v>184513104</v>
      </c>
      <c r="C24" t="s">
        <v>27</v>
      </c>
    </row>
    <row r="25" spans="1:3" x14ac:dyDescent="0.25">
      <c r="A25" t="s">
        <v>17</v>
      </c>
      <c r="B25">
        <f xml:space="preserve"> 1.5 * B23</f>
        <v>59.505000000000003</v>
      </c>
      <c r="C25" t="s">
        <v>7</v>
      </c>
    </row>
    <row r="26" spans="1:3" x14ac:dyDescent="0.25">
      <c r="B26" s="2"/>
    </row>
    <row r="27" spans="1:3" x14ac:dyDescent="0.25">
      <c r="A27" t="s">
        <v>52</v>
      </c>
      <c r="B27">
        <v>31.1</v>
      </c>
      <c r="C27" t="s">
        <v>6</v>
      </c>
    </row>
    <row r="28" spans="1:3" x14ac:dyDescent="0.25">
      <c r="A28" t="s">
        <v>52</v>
      </c>
      <c r="B28" s="2">
        <f xml:space="preserve"> B$16 * B27</f>
        <v>144652320</v>
      </c>
      <c r="C28" t="s">
        <v>27</v>
      </c>
    </row>
    <row r="29" spans="1:3" x14ac:dyDescent="0.25">
      <c r="A29" t="s">
        <v>17</v>
      </c>
      <c r="B29">
        <f xml:space="preserve"> 1.5 * B27</f>
        <v>46.650000000000006</v>
      </c>
      <c r="C29" t="s">
        <v>7</v>
      </c>
    </row>
    <row r="31" spans="1:3" x14ac:dyDescent="0.25">
      <c r="A31" t="s">
        <v>51</v>
      </c>
      <c r="B31">
        <v>65.8</v>
      </c>
      <c r="C31" t="s">
        <v>6</v>
      </c>
    </row>
    <row r="32" spans="1:3" x14ac:dyDescent="0.25">
      <c r="A32" t="s">
        <v>51</v>
      </c>
      <c r="B32" s="2">
        <f xml:space="preserve"> B$16 * B31</f>
        <v>306048960</v>
      </c>
      <c r="C32" t="s">
        <v>27</v>
      </c>
    </row>
    <row r="33" spans="1:3" x14ac:dyDescent="0.25">
      <c r="A33" t="s">
        <v>17</v>
      </c>
      <c r="B33">
        <f xml:space="preserve"> 1.5 * B31</f>
        <v>98.699999999999989</v>
      </c>
      <c r="C33" t="s">
        <v>7</v>
      </c>
    </row>
    <row r="35" spans="1:3" x14ac:dyDescent="0.25">
      <c r="A35" t="s">
        <v>64</v>
      </c>
      <c r="B35" s="2">
        <f xml:space="preserve"> SUM(B20,B24,B28,B32)</f>
        <v>892751328</v>
      </c>
      <c r="C35" t="s">
        <v>27</v>
      </c>
    </row>
    <row r="36" spans="1:3" x14ac:dyDescent="0.25">
      <c r="B36" s="2"/>
    </row>
    <row r="37" spans="1:3" x14ac:dyDescent="0.25">
      <c r="B37" s="2"/>
    </row>
    <row r="38" spans="1:3" x14ac:dyDescent="0.25">
      <c r="A38" s="12" t="s">
        <v>72</v>
      </c>
    </row>
    <row r="39" spans="1:3" x14ac:dyDescent="0.25">
      <c r="A39" t="s">
        <v>69</v>
      </c>
      <c r="B39">
        <v>14.8</v>
      </c>
      <c r="C39" t="s">
        <v>6</v>
      </c>
    </row>
    <row r="40" spans="1:3" x14ac:dyDescent="0.25">
      <c r="A40" t="s">
        <v>69</v>
      </c>
      <c r="B40" s="2">
        <f xml:space="preserve"> B$16 * B39</f>
        <v>68837760</v>
      </c>
      <c r="C40" t="s">
        <v>27</v>
      </c>
    </row>
    <row r="41" spans="1:3" x14ac:dyDescent="0.25">
      <c r="A41" t="s">
        <v>17</v>
      </c>
      <c r="B41">
        <f xml:space="preserve"> 1.5 * B39</f>
        <v>22.200000000000003</v>
      </c>
      <c r="C41" t="s">
        <v>7</v>
      </c>
    </row>
    <row r="43" spans="1:3" x14ac:dyDescent="0.25">
      <c r="A43" t="s">
        <v>70</v>
      </c>
      <c r="B43">
        <f xml:space="preserve"> 8.34 + 1.9</f>
        <v>10.24</v>
      </c>
      <c r="C43" t="s">
        <v>6</v>
      </c>
    </row>
    <row r="44" spans="1:3" x14ac:dyDescent="0.25">
      <c r="A44" t="s">
        <v>70</v>
      </c>
      <c r="B44" s="2">
        <f xml:space="preserve"> B$16 * B43</f>
        <v>47628288</v>
      </c>
      <c r="C44" t="s">
        <v>27</v>
      </c>
    </row>
    <row r="45" spans="1:3" x14ac:dyDescent="0.25">
      <c r="A45" t="s">
        <v>17</v>
      </c>
      <c r="B45">
        <f xml:space="preserve"> 1.5 * B43</f>
        <v>15.36</v>
      </c>
      <c r="C45" t="s">
        <v>7</v>
      </c>
    </row>
    <row r="47" spans="1:3" x14ac:dyDescent="0.25">
      <c r="A47" t="s">
        <v>68</v>
      </c>
      <c r="B47">
        <f xml:space="preserve"> 39 + 2.54 + 1.59 + 0.55</f>
        <v>43.68</v>
      </c>
      <c r="C47" t="s">
        <v>6</v>
      </c>
    </row>
    <row r="48" spans="1:3" x14ac:dyDescent="0.25">
      <c r="A48" t="s">
        <v>68</v>
      </c>
      <c r="B48" s="2">
        <f xml:space="preserve"> B$16 * B47</f>
        <v>203164416</v>
      </c>
      <c r="C48" t="s">
        <v>27</v>
      </c>
    </row>
    <row r="49" spans="1:3" x14ac:dyDescent="0.25">
      <c r="A49" t="s">
        <v>17</v>
      </c>
      <c r="B49">
        <f xml:space="preserve"> 1.5 * B47</f>
        <v>65.52</v>
      </c>
      <c r="C49" t="s">
        <v>7</v>
      </c>
    </row>
    <row r="50" spans="1:3" x14ac:dyDescent="0.25">
      <c r="B50" s="2"/>
    </row>
    <row r="51" spans="1:3" x14ac:dyDescent="0.25">
      <c r="A51" t="s">
        <v>66</v>
      </c>
      <c r="B51">
        <f xml:space="preserve"> 37.4 + 2.36 + 1.51</f>
        <v>41.269999999999996</v>
      </c>
      <c r="C51" t="s">
        <v>6</v>
      </c>
    </row>
    <row r="52" spans="1:3" x14ac:dyDescent="0.25">
      <c r="A52" t="s">
        <v>66</v>
      </c>
      <c r="B52" s="2">
        <f xml:space="preserve"> B$16 * B51</f>
        <v>191955023.99999997</v>
      </c>
      <c r="C52" t="s">
        <v>27</v>
      </c>
    </row>
    <row r="53" spans="1:3" x14ac:dyDescent="0.25">
      <c r="A53" t="s">
        <v>17</v>
      </c>
      <c r="B53">
        <f xml:space="preserve"> 1.5 * B51</f>
        <v>61.904999999999994</v>
      </c>
      <c r="C53" t="s">
        <v>7</v>
      </c>
    </row>
    <row r="55" spans="1:3" x14ac:dyDescent="0.25">
      <c r="A55" t="s">
        <v>67</v>
      </c>
      <c r="B55">
        <v>65.8</v>
      </c>
      <c r="C55" t="s">
        <v>6</v>
      </c>
    </row>
    <row r="56" spans="1:3" x14ac:dyDescent="0.25">
      <c r="A56" t="s">
        <v>67</v>
      </c>
      <c r="B56" s="2">
        <f xml:space="preserve"> B$16 * B55</f>
        <v>306048960</v>
      </c>
      <c r="C56" t="s">
        <v>27</v>
      </c>
    </row>
    <row r="57" spans="1:3" x14ac:dyDescent="0.25">
      <c r="A57" t="s">
        <v>17</v>
      </c>
      <c r="B57">
        <f xml:space="preserve"> 1.5 * B55</f>
        <v>98.699999999999989</v>
      </c>
      <c r="C57" t="s">
        <v>7</v>
      </c>
    </row>
    <row r="59" spans="1:3" x14ac:dyDescent="0.25">
      <c r="A59" t="s">
        <v>65</v>
      </c>
      <c r="B59" s="2">
        <f xml:space="preserve"> SUM(B40,B44,B48,B52,B56)</f>
        <v>817634448</v>
      </c>
      <c r="C59" t="s">
        <v>27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15EAC2019B624CB5B24CF9FF2800B8" ma:contentTypeVersion="12" ma:contentTypeDescription="Create a new document." ma:contentTypeScope="" ma:versionID="95efd9c7d094caec76dfff43f0203ee8">
  <xsd:schema xmlns:xsd="http://www.w3.org/2001/XMLSchema" xmlns:xs="http://www.w3.org/2001/XMLSchema" xmlns:p="http://schemas.microsoft.com/office/2006/metadata/properties" xmlns:ns2="c67f01ef-52a7-44e9-8f2a-d94dec3f814f" xmlns:ns3="bbce72e2-4278-4548-8ef4-8ad0fc682cbb" targetNamespace="http://schemas.microsoft.com/office/2006/metadata/properties" ma:root="true" ma:fieldsID="0768b88caf2e382bd0e7b33f2a6b2063" ns2:_="" ns3:_="">
    <xsd:import namespace="c67f01ef-52a7-44e9-8f2a-d94dec3f814f"/>
    <xsd:import namespace="bbce72e2-4278-4548-8ef4-8ad0fc682c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f01ef-52a7-44e9-8f2a-d94dec3f81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e72e2-4278-4548-8ef4-8ad0fc682c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0D7859-52F5-4E57-A03B-FEC9DCF3DADC}"/>
</file>

<file path=customXml/itemProps2.xml><?xml version="1.0" encoding="utf-8"?>
<ds:datastoreItem xmlns:ds="http://schemas.openxmlformats.org/officeDocument/2006/customXml" ds:itemID="{F55781A0-AF65-434C-A31D-38135ED7092F}"/>
</file>

<file path=customXml/itemProps3.xml><?xml version="1.0" encoding="utf-8"?>
<ds:datastoreItem xmlns:ds="http://schemas.openxmlformats.org/officeDocument/2006/customXml" ds:itemID="{6E444D45-1E35-4CDB-B52F-FAB18CE29E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Water Import Concept A Costs</vt:lpstr>
      <vt:lpstr>Water Import Concept B Costs</vt:lpstr>
      <vt:lpstr>2006 Canal Lining Cost Basis</vt:lpstr>
    </vt:vector>
  </TitlesOfParts>
  <Company>Sephton Water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Sephton</dc:creator>
  <cp:lastModifiedBy>Tom Sephton</cp:lastModifiedBy>
  <cp:lastPrinted>2015-06-01T22:06:01Z</cp:lastPrinted>
  <dcterms:created xsi:type="dcterms:W3CDTF">2015-04-04T06:48:34Z</dcterms:created>
  <dcterms:modified xsi:type="dcterms:W3CDTF">2021-10-13T02:11:32Z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0x0101002415EAC2019B624CB5B24CF9FF2800B8</vt:lpwstr>
  </property>
</Properties>
</file>