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6.xml" ContentType="application/vnd.ms-office.chartcolorstyle+xml"/>
  <Override PartName="/xl/worksheets/sheet1.xml" ContentType="application/vnd.openxmlformats-officedocument.spreadsheetml.worksheet+xml"/>
  <Override PartName="/xl/charts/chart6.xml" ContentType="application/vnd.openxmlformats-officedocument.drawingml.chart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style3.xml" ContentType="application/vnd.ms-office.chartstyle+xml"/>
  <Override PartName="/xl/charts/style6.xml" ContentType="application/vnd.ms-office.chartstyle+xml"/>
  <Override PartName="/xl/charts/colors2.xml" ContentType="application/vnd.ms-office.chartcolorstyl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2.xml" ContentType="application/vnd.openxmlformats-officedocument.spreadsheetml.worksheet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mSephton.SOS-L-004\SaltonSea\Proposals2021\WISER\"/>
    </mc:Choice>
  </mc:AlternateContent>
  <bookViews>
    <workbookView xWindow="0" yWindow="300" windowWidth="15360" windowHeight="7905" tabRatio="819"/>
  </bookViews>
  <sheets>
    <sheet name="Financials 20 MGD VTE, SGSP" sheetId="40" r:id="rId1"/>
    <sheet name="Annual Cost &amp; Revenue 20 MGD" sheetId="60" r:id="rId2"/>
    <sheet name="Annual Cost &amp; Revenue, Schedule" sheetId="61" r:id="rId3"/>
    <sheet name="Management Team Cost" sheetId="3" r:id="rId4"/>
    <sheet name="Engineering Team Cost" sheetId="4" r:id="rId5"/>
    <sheet name="Energy Cost Rates" sheetId="6" r:id="rId6"/>
    <sheet name="Levellized Salt Refinery Plant " sheetId="7" r:id="rId7"/>
    <sheet name="Levellized Salt Sep Plant" sheetId="8" r:id="rId8"/>
    <sheet name="20MGD 60 Effect Levellized VTE" sheetId="53" r:id="rId9"/>
    <sheet name="20MGD 60Effect VTE Capital Cost" sheetId="54" r:id="rId10"/>
    <sheet name="20MGD 60Effect VTE Excavation" sheetId="55" r:id="rId11"/>
    <sheet name="20MGD 60Effect Pump Specs" sheetId="56" r:id="rId12"/>
    <sheet name="20MGD 60Effect Evaporator Cost" sheetId="57" r:id="rId13"/>
    <sheet name="20MGD Adjacent Tube Bundle" sheetId="58" r:id="rId14"/>
    <sheet name="20 MGD Stacked Tube Bundle" sheetId="59" r:id="rId15"/>
    <sheet name="5MGD 15 Effect Levellized VTE" sheetId="19" r:id="rId16"/>
    <sheet name="5MGD 15 Effect VTE Capital Cost" sheetId="20" r:id="rId17"/>
    <sheet name="5 MGD 15 Effect VTE Excavation " sheetId="21" r:id="rId18"/>
    <sheet name="5MGD 15 Effect Pump Specs kW" sheetId="22" r:id="rId19"/>
    <sheet name="5MGD 15 Effect Evaporator Costs" sheetId="23" r:id="rId20"/>
    <sheet name="5 MGD Adjacent Tube Bundle Spec" sheetId="25" r:id="rId21"/>
    <sheet name="10 MGD Stacked Tube Bundle Spec" sheetId="26" r:id="rId22"/>
    <sheet name="SGSP Summary" sheetId="34" r:id="rId23"/>
    <sheet name="SGSP Section Cost low evap." sheetId="33" r:id="rId24"/>
    <sheet name="SGSP Pond Sizing" sheetId="37" r:id="rId25"/>
    <sheet name="SGSP Salt content" sheetId="38" r:id="rId26"/>
    <sheet name="Solar Pond Brine Cost" sheetId="32" r:id="rId27"/>
    <sheet name="Salt Evaporation Pond Costs" sheetId="27" r:id="rId28"/>
    <sheet name="Blended Water Cost Summary" sheetId="28" r:id="rId29"/>
    <sheet name="Blended Water Cost 2013" sheetId="29" r:id="rId30"/>
    <sheet name="IID Cost Basis 2013" sheetId="30" r:id="rId31"/>
    <sheet name="IID Water Rate Calculator" sheetId="31" r:id="rId32"/>
  </sheets>
  <definedNames>
    <definedName name="_xlnm.Print_Area" localSheetId="14">'20 MGD Stacked Tube Bundle'!$A$1:$C$30</definedName>
    <definedName name="_xlnm.Print_Area" localSheetId="8">'20MGD 60 Effect Levellized VTE'!$A$1:$C$44</definedName>
    <definedName name="_xlnm.Print_Area" localSheetId="12">'20MGD 60Effect Evaporator Cost'!$A$1:$I$30</definedName>
    <definedName name="_xlnm.Print_Area" localSheetId="11">'20MGD 60Effect Pump Specs'!$A$1:$H$17</definedName>
    <definedName name="_xlnm.Print_Area" localSheetId="9">'20MGD 60Effect VTE Capital Cost'!$A$1:$B$33</definedName>
    <definedName name="_xlnm.Print_Area" localSheetId="19">'5MGD 15 Effect Evaporator Costs'!$A$1:$H$30</definedName>
    <definedName name="_xlnm.Print_Area" localSheetId="15">'5MGD 15 Effect Levellized VTE'!$A$1:$C$35</definedName>
    <definedName name="_xlnm.Print_Area" localSheetId="18">'5MGD 15 Effect Pump Specs kW'!$A$1:$H$17</definedName>
    <definedName name="_xlnm.Print_Area" localSheetId="16">'5MGD 15 Effect VTE Capital Cost'!$A$1:$B$33</definedName>
    <definedName name="_xlnm.Print_Area" localSheetId="6">'Levellized Salt Refinery Plant '!$A$1:$D$60</definedName>
    <definedName name="_xlnm.Print_Area" localSheetId="7">'Levellized Salt Sep Plant'!$A$3:$J$45</definedName>
    <definedName name="_xlnm.Print_Area" localSheetId="27">'Salt Evaporation Pond Costs'!$A$1:$C$62</definedName>
    <definedName name="_xlnm.Print_Area" localSheetId="23">'SGSP Section Cost low evap.'!$A$1:$F$55</definedName>
    <definedName name="_xlnm.Print_Area" localSheetId="22">'SGSP Summary'!$A$1:$C$13</definedName>
  </definedNames>
  <calcPr calcId="152511"/>
</workbook>
</file>

<file path=xl/calcChain.xml><?xml version="1.0" encoding="utf-8"?>
<calcChain xmlns="http://schemas.openxmlformats.org/spreadsheetml/2006/main">
  <c r="F22" i="53" l="1"/>
  <c r="F24" i="53"/>
  <c r="F39" i="53"/>
  <c r="BH24" i="60" l="1"/>
  <c r="BG24" i="60"/>
  <c r="BF24" i="60"/>
  <c r="BE24" i="60"/>
  <c r="BD24" i="60"/>
  <c r="BC24" i="60"/>
  <c r="BB24" i="60"/>
  <c r="BA24" i="60"/>
  <c r="AZ24" i="60"/>
  <c r="AY24" i="60"/>
  <c r="AX24" i="60"/>
  <c r="AW24" i="60"/>
  <c r="AV24" i="60"/>
  <c r="AU24" i="60"/>
  <c r="AT24" i="60"/>
  <c r="AS24" i="60"/>
  <c r="AR24" i="60"/>
  <c r="AQ24" i="60"/>
  <c r="AP24" i="60"/>
  <c r="AO24" i="60"/>
  <c r="AN24" i="60"/>
  <c r="AM24" i="60"/>
  <c r="C39" i="8"/>
  <c r="C40" i="8"/>
  <c r="C42" i="60"/>
  <c r="C91" i="60" l="1"/>
  <c r="I38" i="8" l="1"/>
  <c r="C38" i="8"/>
  <c r="C17" i="60" l="1"/>
  <c r="C49" i="60" s="1"/>
  <c r="C32" i="60" s="1"/>
  <c r="BH76" i="60"/>
  <c r="BG76" i="60"/>
  <c r="BF76" i="60"/>
  <c r="BE76" i="60"/>
  <c r="BD76" i="60"/>
  <c r="BC76" i="60"/>
  <c r="BB76" i="60"/>
  <c r="BA76" i="60"/>
  <c r="AZ76" i="60"/>
  <c r="AY76" i="60"/>
  <c r="AX76" i="60"/>
  <c r="AW76" i="60"/>
  <c r="AV76" i="60"/>
  <c r="AU76" i="60"/>
  <c r="AT76" i="60"/>
  <c r="AS76" i="60"/>
  <c r="AR76" i="60"/>
  <c r="AQ76" i="60"/>
  <c r="AP76" i="60"/>
  <c r="AO76" i="60"/>
  <c r="AN76" i="60"/>
  <c r="AM76" i="60"/>
  <c r="C48" i="60" l="1"/>
  <c r="C47" i="60" s="1"/>
  <c r="B4" i="54"/>
  <c r="B5" i="54"/>
  <c r="BH156" i="61" l="1"/>
  <c r="BG156" i="61"/>
  <c r="BF156" i="61"/>
  <c r="BE156" i="61"/>
  <c r="BD156" i="61"/>
  <c r="BC156" i="61"/>
  <c r="BB156" i="61"/>
  <c r="BA156" i="61"/>
  <c r="AZ156" i="61"/>
  <c r="AY156" i="61"/>
  <c r="AX156" i="61"/>
  <c r="AW156" i="61"/>
  <c r="AV156" i="61"/>
  <c r="AU156" i="61"/>
  <c r="AT156" i="61"/>
  <c r="AS156" i="61"/>
  <c r="AR156" i="61"/>
  <c r="AQ156" i="61"/>
  <c r="AP156" i="61"/>
  <c r="AO156" i="61"/>
  <c r="AN156" i="61"/>
  <c r="AM156" i="61"/>
  <c r="AL156" i="61"/>
  <c r="AK156" i="61"/>
  <c r="AJ156" i="61"/>
  <c r="AI156" i="61"/>
  <c r="AH156" i="61"/>
  <c r="AG156" i="61"/>
  <c r="AF156" i="61"/>
  <c r="AE156" i="61"/>
  <c r="AD156" i="61"/>
  <c r="AC156" i="61"/>
  <c r="AB156" i="61"/>
  <c r="AA156" i="61"/>
  <c r="Z156" i="61"/>
  <c r="Y156" i="61"/>
  <c r="X156" i="61"/>
  <c r="W156" i="61"/>
  <c r="V156" i="61"/>
  <c r="U156" i="61"/>
  <c r="T156" i="61"/>
  <c r="S156" i="61"/>
  <c r="R156" i="61"/>
  <c r="Q156" i="61"/>
  <c r="P156" i="61"/>
  <c r="O156" i="61"/>
  <c r="N156" i="61"/>
  <c r="M156" i="61"/>
  <c r="L156" i="61"/>
  <c r="K156" i="61"/>
  <c r="J156" i="61"/>
  <c r="I156" i="61"/>
  <c r="H156" i="61"/>
  <c r="G156" i="61"/>
  <c r="F156" i="61"/>
  <c r="E156" i="61"/>
  <c r="D156" i="61"/>
  <c r="C156" i="61"/>
  <c r="BH152" i="61"/>
  <c r="BG152" i="61"/>
  <c r="BF152" i="61"/>
  <c r="BE152" i="61"/>
  <c r="BD152" i="61"/>
  <c r="BC152" i="61"/>
  <c r="BB152" i="61"/>
  <c r="BA152" i="61"/>
  <c r="AZ152" i="61"/>
  <c r="AY152" i="61"/>
  <c r="AX152" i="61"/>
  <c r="AW152" i="61"/>
  <c r="AV152" i="61"/>
  <c r="AU152" i="61"/>
  <c r="AT152" i="61"/>
  <c r="AS152" i="61"/>
  <c r="AR152" i="61"/>
  <c r="AQ152" i="61"/>
  <c r="AP152" i="61"/>
  <c r="AO152" i="61"/>
  <c r="AN152" i="61"/>
  <c r="AM152" i="61"/>
  <c r="AL152" i="61"/>
  <c r="AK152" i="61"/>
  <c r="AJ152" i="61"/>
  <c r="AI152" i="61"/>
  <c r="AH152" i="61"/>
  <c r="AG152" i="61"/>
  <c r="AF152" i="61"/>
  <c r="AE152" i="61"/>
  <c r="AD152" i="61"/>
  <c r="AC152" i="61"/>
  <c r="AB152" i="61"/>
  <c r="AA152" i="61"/>
  <c r="Z152" i="61"/>
  <c r="Y152" i="61"/>
  <c r="X152" i="61"/>
  <c r="W152" i="61"/>
  <c r="V152" i="61"/>
  <c r="U152" i="61"/>
  <c r="T152" i="61"/>
  <c r="S152" i="61"/>
  <c r="R152" i="61"/>
  <c r="Q152" i="61"/>
  <c r="P152" i="61"/>
  <c r="O152" i="61"/>
  <c r="N152" i="61"/>
  <c r="M152" i="61"/>
  <c r="L152" i="61"/>
  <c r="K152" i="61"/>
  <c r="J152" i="61"/>
  <c r="I152" i="61"/>
  <c r="H152" i="61"/>
  <c r="G152" i="61"/>
  <c r="F152" i="61"/>
  <c r="E152" i="61"/>
  <c r="D152" i="61"/>
  <c r="BH151" i="61"/>
  <c r="BG151" i="61"/>
  <c r="BF151" i="61"/>
  <c r="BE151" i="61"/>
  <c r="BD151" i="61"/>
  <c r="BC151" i="61"/>
  <c r="BB151" i="61"/>
  <c r="BA151" i="61"/>
  <c r="AZ151" i="61"/>
  <c r="AY151" i="61"/>
  <c r="AX151" i="61"/>
  <c r="AW151" i="61"/>
  <c r="AV151" i="61"/>
  <c r="AU151" i="61"/>
  <c r="AT151" i="61"/>
  <c r="AS151" i="61"/>
  <c r="AR151" i="61"/>
  <c r="AQ151" i="61"/>
  <c r="AP151" i="61"/>
  <c r="AO151" i="61"/>
  <c r="AN151" i="61"/>
  <c r="AM151" i="61"/>
  <c r="AL151" i="61"/>
  <c r="AK151" i="61"/>
  <c r="AJ151" i="61"/>
  <c r="AI151" i="61"/>
  <c r="AH151" i="61"/>
  <c r="AG151" i="61"/>
  <c r="AF151" i="61"/>
  <c r="AE151" i="61"/>
  <c r="AD151" i="61"/>
  <c r="AC151" i="61"/>
  <c r="AB151" i="61"/>
  <c r="AA151" i="61"/>
  <c r="Z151" i="61"/>
  <c r="Y151" i="61"/>
  <c r="X151" i="61"/>
  <c r="W151" i="61"/>
  <c r="V151" i="61"/>
  <c r="U151" i="61"/>
  <c r="T151" i="61"/>
  <c r="S151" i="61"/>
  <c r="R151" i="61"/>
  <c r="Q151" i="61"/>
  <c r="P151" i="61"/>
  <c r="O151" i="61"/>
  <c r="N151" i="61"/>
  <c r="M151" i="61"/>
  <c r="L151" i="61"/>
  <c r="K151" i="61"/>
  <c r="J151" i="61"/>
  <c r="I151" i="61"/>
  <c r="H151" i="61"/>
  <c r="G151" i="61"/>
  <c r="F151" i="61"/>
  <c r="E151" i="61"/>
  <c r="D151" i="61"/>
  <c r="C145" i="61"/>
  <c r="D145" i="61" s="1"/>
  <c r="E145" i="61" s="1"/>
  <c r="F145" i="61" s="1"/>
  <c r="G145" i="61" s="1"/>
  <c r="H145" i="61" s="1"/>
  <c r="I145" i="61" s="1"/>
  <c r="J145" i="61" s="1"/>
  <c r="K145" i="61" s="1"/>
  <c r="L145" i="61" s="1"/>
  <c r="M145" i="61" s="1"/>
  <c r="N145" i="61" s="1"/>
  <c r="O145" i="61" s="1"/>
  <c r="P145" i="61" s="1"/>
  <c r="Q145" i="61" s="1"/>
  <c r="R145" i="61" s="1"/>
  <c r="S145" i="61" s="1"/>
  <c r="T145" i="61" s="1"/>
  <c r="U145" i="61" s="1"/>
  <c r="V145" i="61" s="1"/>
  <c r="W145" i="61" s="1"/>
  <c r="X145" i="61" s="1"/>
  <c r="Y145" i="61" s="1"/>
  <c r="Z145" i="61" s="1"/>
  <c r="AA145" i="61" s="1"/>
  <c r="AB145" i="61" s="1"/>
  <c r="AC145" i="61" s="1"/>
  <c r="AD145" i="61" s="1"/>
  <c r="AE145" i="61" s="1"/>
  <c r="AF145" i="61" s="1"/>
  <c r="AG145" i="61" s="1"/>
  <c r="AH145" i="61" s="1"/>
  <c r="AI145" i="61" s="1"/>
  <c r="AJ145" i="61" s="1"/>
  <c r="AK145" i="61" s="1"/>
  <c r="AL145" i="61" s="1"/>
  <c r="AM145" i="61" s="1"/>
  <c r="AN145" i="61" s="1"/>
  <c r="AO145" i="61" s="1"/>
  <c r="AP145" i="61" s="1"/>
  <c r="AQ145" i="61" s="1"/>
  <c r="AR145" i="61" s="1"/>
  <c r="AS145" i="61" s="1"/>
  <c r="AT145" i="61" s="1"/>
  <c r="AU145" i="61" s="1"/>
  <c r="AV145" i="61" s="1"/>
  <c r="AW145" i="61" s="1"/>
  <c r="AX145" i="61" s="1"/>
  <c r="AY145" i="61" s="1"/>
  <c r="AZ145" i="61" s="1"/>
  <c r="BA145" i="61" s="1"/>
  <c r="BB145" i="61" s="1"/>
  <c r="BC145" i="61" s="1"/>
  <c r="BD145" i="61" s="1"/>
  <c r="BE145" i="61" s="1"/>
  <c r="BF145" i="61" s="1"/>
  <c r="BG145" i="61" s="1"/>
  <c r="BH145" i="61" s="1"/>
  <c r="C137" i="61"/>
  <c r="D137" i="61" s="1"/>
  <c r="E137" i="61" s="1"/>
  <c r="F137" i="61" s="1"/>
  <c r="G137" i="61" s="1"/>
  <c r="H137" i="61" s="1"/>
  <c r="I137" i="61" s="1"/>
  <c r="J137" i="61" s="1"/>
  <c r="K137" i="61" s="1"/>
  <c r="L137" i="61" s="1"/>
  <c r="M137" i="61" s="1"/>
  <c r="N137" i="61" s="1"/>
  <c r="O137" i="61" s="1"/>
  <c r="P137" i="61" s="1"/>
  <c r="Q137" i="61" s="1"/>
  <c r="R137" i="61" s="1"/>
  <c r="S137" i="61" s="1"/>
  <c r="T137" i="61" s="1"/>
  <c r="U137" i="61" s="1"/>
  <c r="V137" i="61" s="1"/>
  <c r="W137" i="61" s="1"/>
  <c r="X137" i="61" s="1"/>
  <c r="Y137" i="61" s="1"/>
  <c r="Z137" i="61" s="1"/>
  <c r="AA137" i="61" s="1"/>
  <c r="AB137" i="61" s="1"/>
  <c r="AC137" i="61" s="1"/>
  <c r="AD137" i="61" s="1"/>
  <c r="AE137" i="61" s="1"/>
  <c r="AF137" i="61" s="1"/>
  <c r="AG137" i="61" s="1"/>
  <c r="AH137" i="61" s="1"/>
  <c r="AI137" i="61" s="1"/>
  <c r="AJ137" i="61" s="1"/>
  <c r="AK137" i="61" s="1"/>
  <c r="AL137" i="61" s="1"/>
  <c r="AM137" i="61" s="1"/>
  <c r="AN137" i="61" s="1"/>
  <c r="AO137" i="61" s="1"/>
  <c r="AP137" i="61" s="1"/>
  <c r="AQ137" i="61" s="1"/>
  <c r="AR137" i="61" s="1"/>
  <c r="AS137" i="61" s="1"/>
  <c r="AT137" i="61" s="1"/>
  <c r="AU137" i="61" s="1"/>
  <c r="AV137" i="61" s="1"/>
  <c r="AW137" i="61" s="1"/>
  <c r="AX137" i="61" s="1"/>
  <c r="AY137" i="61" s="1"/>
  <c r="AZ137" i="61" s="1"/>
  <c r="BA137" i="61" s="1"/>
  <c r="BB137" i="61" s="1"/>
  <c r="BC137" i="61" s="1"/>
  <c r="BD137" i="61" s="1"/>
  <c r="BE137" i="61" s="1"/>
  <c r="BF137" i="61" s="1"/>
  <c r="BG137" i="61" s="1"/>
  <c r="BH137" i="61" s="1"/>
  <c r="BH131" i="61"/>
  <c r="BG131" i="61"/>
  <c r="BF131" i="61"/>
  <c r="BE131" i="61"/>
  <c r="BD131" i="61"/>
  <c r="BC131" i="61"/>
  <c r="BB131" i="61"/>
  <c r="BA131" i="61"/>
  <c r="AZ131" i="61"/>
  <c r="AY131" i="61"/>
  <c r="AX131" i="61"/>
  <c r="AW131" i="61"/>
  <c r="AV131" i="61"/>
  <c r="AU131" i="61"/>
  <c r="AT131" i="61"/>
  <c r="AS131" i="61"/>
  <c r="AR131" i="61"/>
  <c r="AQ131" i="61"/>
  <c r="AP131" i="61"/>
  <c r="AO131" i="61"/>
  <c r="AN131" i="61"/>
  <c r="AM131" i="61"/>
  <c r="AL131" i="61"/>
  <c r="AK131" i="61"/>
  <c r="AJ131" i="61"/>
  <c r="AI131" i="61"/>
  <c r="AH131" i="61"/>
  <c r="AG131" i="61"/>
  <c r="AF131" i="61"/>
  <c r="AE131" i="61"/>
  <c r="AD131" i="61"/>
  <c r="AC131" i="61"/>
  <c r="AB131" i="61"/>
  <c r="AA131" i="61"/>
  <c r="Z131" i="61"/>
  <c r="Y131" i="61"/>
  <c r="X131" i="61"/>
  <c r="W131" i="61"/>
  <c r="V131" i="61"/>
  <c r="U131" i="61"/>
  <c r="T131" i="61"/>
  <c r="S131" i="61"/>
  <c r="R131" i="61"/>
  <c r="Q131" i="61"/>
  <c r="P131" i="61"/>
  <c r="O131" i="61"/>
  <c r="N131" i="61"/>
  <c r="M131" i="61"/>
  <c r="L131" i="61"/>
  <c r="K131" i="61"/>
  <c r="J131" i="61"/>
  <c r="I131" i="61"/>
  <c r="H131" i="61"/>
  <c r="G131" i="61"/>
  <c r="F131" i="61"/>
  <c r="E131" i="61"/>
  <c r="D131" i="61"/>
  <c r="C129" i="61"/>
  <c r="E121" i="61"/>
  <c r="F121" i="61" s="1"/>
  <c r="G121" i="61" s="1"/>
  <c r="H121" i="61" s="1"/>
  <c r="I121" i="61" s="1"/>
  <c r="J121" i="61" s="1"/>
  <c r="K121" i="61" s="1"/>
  <c r="L121" i="61" s="1"/>
  <c r="M121" i="61" s="1"/>
  <c r="N121" i="61" s="1"/>
  <c r="O121" i="61" s="1"/>
  <c r="P121" i="61" s="1"/>
  <c r="Q121" i="61" s="1"/>
  <c r="R121" i="61" s="1"/>
  <c r="S121" i="61" s="1"/>
  <c r="T121" i="61" s="1"/>
  <c r="U121" i="61" s="1"/>
  <c r="V121" i="61" s="1"/>
  <c r="W121" i="61" s="1"/>
  <c r="X121" i="61" s="1"/>
  <c r="Y121" i="61" s="1"/>
  <c r="Z121" i="61" s="1"/>
  <c r="AA121" i="61" s="1"/>
  <c r="AB121" i="61" s="1"/>
  <c r="AC121" i="61" s="1"/>
  <c r="AD121" i="61" s="1"/>
  <c r="AE121" i="61" s="1"/>
  <c r="AF121" i="61" s="1"/>
  <c r="AG121" i="61" s="1"/>
  <c r="AH121" i="61" s="1"/>
  <c r="AI121" i="61" s="1"/>
  <c r="AJ121" i="61" s="1"/>
  <c r="AK121" i="61" s="1"/>
  <c r="AL121" i="61" s="1"/>
  <c r="AM121" i="61" s="1"/>
  <c r="AN121" i="61" s="1"/>
  <c r="AO121" i="61" s="1"/>
  <c r="AP121" i="61" s="1"/>
  <c r="AQ121" i="61" s="1"/>
  <c r="AR121" i="61" s="1"/>
  <c r="AS121" i="61" s="1"/>
  <c r="AT121" i="61" s="1"/>
  <c r="AU121" i="61" s="1"/>
  <c r="AV121" i="61" s="1"/>
  <c r="AW121" i="61" s="1"/>
  <c r="AX121" i="61" s="1"/>
  <c r="AY121" i="61" s="1"/>
  <c r="AZ121" i="61" s="1"/>
  <c r="BA121" i="61" s="1"/>
  <c r="BB121" i="61" s="1"/>
  <c r="BC121" i="61" s="1"/>
  <c r="BD121" i="61" s="1"/>
  <c r="BE121" i="61" s="1"/>
  <c r="BF121" i="61" s="1"/>
  <c r="BG121" i="61" s="1"/>
  <c r="BH121" i="61" s="1"/>
  <c r="D121" i="61"/>
  <c r="C119" i="61"/>
  <c r="C118" i="61"/>
  <c r="C123" i="61" s="1"/>
  <c r="BH116" i="61"/>
  <c r="BG116" i="61"/>
  <c r="BF116" i="61"/>
  <c r="BE116" i="61"/>
  <c r="BD116" i="61"/>
  <c r="BC116" i="61"/>
  <c r="BB116" i="61"/>
  <c r="BA116" i="61"/>
  <c r="AZ116" i="61"/>
  <c r="AY116" i="61"/>
  <c r="AX116" i="61"/>
  <c r="AW116" i="61"/>
  <c r="AV116" i="61"/>
  <c r="AU116" i="61"/>
  <c r="AT116" i="61"/>
  <c r="AS116" i="61"/>
  <c r="AR116" i="61"/>
  <c r="AQ116" i="61"/>
  <c r="AP116" i="61"/>
  <c r="AO116" i="61"/>
  <c r="AN116" i="61"/>
  <c r="AM116" i="61"/>
  <c r="AL116" i="61"/>
  <c r="AK116" i="61"/>
  <c r="AJ116" i="61"/>
  <c r="AI116" i="61"/>
  <c r="AH116" i="61"/>
  <c r="AG116" i="61"/>
  <c r="AF116" i="61"/>
  <c r="AE116" i="61"/>
  <c r="AD116" i="61"/>
  <c r="AC116" i="61"/>
  <c r="AB116" i="61"/>
  <c r="AA116" i="61"/>
  <c r="Z116" i="61"/>
  <c r="Y116" i="61"/>
  <c r="X116" i="61"/>
  <c r="W116" i="61"/>
  <c r="V116" i="61"/>
  <c r="U116" i="61"/>
  <c r="T116" i="61"/>
  <c r="S116" i="61"/>
  <c r="R116" i="61"/>
  <c r="Q116" i="61"/>
  <c r="P116" i="61"/>
  <c r="O116" i="61"/>
  <c r="N116" i="61"/>
  <c r="M116" i="61"/>
  <c r="L116" i="61"/>
  <c r="K116" i="61"/>
  <c r="J116" i="61"/>
  <c r="I116" i="61"/>
  <c r="H116" i="61"/>
  <c r="G116" i="61"/>
  <c r="F116" i="61"/>
  <c r="E116" i="61"/>
  <c r="D116" i="61"/>
  <c r="C114" i="61"/>
  <c r="C113" i="61"/>
  <c r="C117" i="61" s="1"/>
  <c r="C112" i="61"/>
  <c r="BH108" i="61"/>
  <c r="BG108" i="61"/>
  <c r="BF108" i="61"/>
  <c r="BE108" i="61"/>
  <c r="BD108" i="61"/>
  <c r="BC108" i="61"/>
  <c r="BB108" i="61"/>
  <c r="BA108" i="61"/>
  <c r="AZ108" i="61"/>
  <c r="AY108" i="61"/>
  <c r="AX108" i="61"/>
  <c r="AW108" i="61"/>
  <c r="AV108" i="61"/>
  <c r="AU108" i="61"/>
  <c r="AT108" i="61"/>
  <c r="AS108" i="61"/>
  <c r="AR108" i="61"/>
  <c r="AQ108" i="61"/>
  <c r="AP108" i="61"/>
  <c r="AO108" i="61"/>
  <c r="AN108" i="61"/>
  <c r="AM108" i="61"/>
  <c r="C96" i="61"/>
  <c r="D94" i="61"/>
  <c r="E94" i="61" s="1"/>
  <c r="F94" i="61" s="1"/>
  <c r="G94" i="61" s="1"/>
  <c r="H94" i="61" s="1"/>
  <c r="I94" i="61" s="1"/>
  <c r="J94" i="61" s="1"/>
  <c r="K94" i="61" s="1"/>
  <c r="L94" i="61" s="1"/>
  <c r="M94" i="61" s="1"/>
  <c r="N94" i="61" s="1"/>
  <c r="O94" i="61" s="1"/>
  <c r="P94" i="61" s="1"/>
  <c r="Q94" i="61" s="1"/>
  <c r="R94" i="61" s="1"/>
  <c r="S94" i="61" s="1"/>
  <c r="T94" i="61" s="1"/>
  <c r="U94" i="61" s="1"/>
  <c r="V94" i="61" s="1"/>
  <c r="W94" i="61" s="1"/>
  <c r="X94" i="61" s="1"/>
  <c r="Y94" i="61" s="1"/>
  <c r="Z94" i="61" s="1"/>
  <c r="AA94" i="61" s="1"/>
  <c r="AB94" i="61" s="1"/>
  <c r="AC94" i="61" s="1"/>
  <c r="AD94" i="61" s="1"/>
  <c r="AE94" i="61" s="1"/>
  <c r="AF94" i="61" s="1"/>
  <c r="AG94" i="61" s="1"/>
  <c r="AH94" i="61" s="1"/>
  <c r="AI94" i="61" s="1"/>
  <c r="AJ94" i="61" s="1"/>
  <c r="AK94" i="61" s="1"/>
  <c r="AL94" i="61" s="1"/>
  <c r="AM94" i="61" s="1"/>
  <c r="AN94" i="61" s="1"/>
  <c r="AO94" i="61" s="1"/>
  <c r="AP94" i="61" s="1"/>
  <c r="AQ94" i="61" s="1"/>
  <c r="AR94" i="61" s="1"/>
  <c r="AS94" i="61" s="1"/>
  <c r="AT94" i="61" s="1"/>
  <c r="AU94" i="61" s="1"/>
  <c r="AV94" i="61" s="1"/>
  <c r="AW94" i="61" s="1"/>
  <c r="AX94" i="61" s="1"/>
  <c r="AY94" i="61" s="1"/>
  <c r="AZ94" i="61" s="1"/>
  <c r="BA94" i="61" s="1"/>
  <c r="BB94" i="61" s="1"/>
  <c r="BC94" i="61" s="1"/>
  <c r="BD94" i="61" s="1"/>
  <c r="BE94" i="61" s="1"/>
  <c r="BF94" i="61" s="1"/>
  <c r="BG94" i="61" s="1"/>
  <c r="BH94" i="61" s="1"/>
  <c r="C93" i="61"/>
  <c r="C92" i="61"/>
  <c r="BH91" i="61"/>
  <c r="BG91" i="61"/>
  <c r="BF91" i="61"/>
  <c r="BE91" i="61"/>
  <c r="BD91" i="61"/>
  <c r="BC91" i="61"/>
  <c r="BB91" i="61"/>
  <c r="BA91" i="61"/>
  <c r="AZ91" i="61"/>
  <c r="AY91" i="61"/>
  <c r="AX91" i="61"/>
  <c r="AW91" i="61"/>
  <c r="AV91" i="61"/>
  <c r="AU91" i="61"/>
  <c r="AT91" i="61"/>
  <c r="AS91" i="61"/>
  <c r="AR91" i="61"/>
  <c r="AQ91" i="61"/>
  <c r="AP91" i="61"/>
  <c r="AO91" i="61"/>
  <c r="AN91" i="61"/>
  <c r="AM91" i="61"/>
  <c r="C90" i="61"/>
  <c r="C95" i="61" s="1"/>
  <c r="BH87" i="61"/>
  <c r="BG87" i="61"/>
  <c r="BF87" i="61"/>
  <c r="BE87" i="61"/>
  <c r="BD87" i="61"/>
  <c r="BC87" i="61"/>
  <c r="BB87" i="61"/>
  <c r="BA87" i="61"/>
  <c r="AZ87" i="61"/>
  <c r="AY87" i="61"/>
  <c r="AX87" i="61"/>
  <c r="AW87" i="61"/>
  <c r="AV87" i="61"/>
  <c r="AU87" i="61"/>
  <c r="AT87" i="61"/>
  <c r="AS87" i="61"/>
  <c r="AR87" i="61"/>
  <c r="AQ87" i="61"/>
  <c r="AP87" i="61"/>
  <c r="AO87" i="61"/>
  <c r="AN87" i="61"/>
  <c r="AM87" i="61"/>
  <c r="AL87" i="61"/>
  <c r="D84" i="61"/>
  <c r="E84" i="61" s="1"/>
  <c r="F84" i="61" s="1"/>
  <c r="G84" i="61" s="1"/>
  <c r="H84" i="61" s="1"/>
  <c r="I84" i="61" s="1"/>
  <c r="J84" i="61" s="1"/>
  <c r="K84" i="61" s="1"/>
  <c r="L84" i="61" s="1"/>
  <c r="M84" i="61" s="1"/>
  <c r="N84" i="61" s="1"/>
  <c r="O84" i="61" s="1"/>
  <c r="P84" i="61" s="1"/>
  <c r="Q84" i="61" s="1"/>
  <c r="R84" i="61" s="1"/>
  <c r="S84" i="61" s="1"/>
  <c r="T84" i="61" s="1"/>
  <c r="U84" i="61" s="1"/>
  <c r="V84" i="61" s="1"/>
  <c r="W84" i="61" s="1"/>
  <c r="X84" i="61" s="1"/>
  <c r="Y84" i="61" s="1"/>
  <c r="Z84" i="61" s="1"/>
  <c r="AA84" i="61" s="1"/>
  <c r="AB84" i="61" s="1"/>
  <c r="AC84" i="61" s="1"/>
  <c r="AD84" i="61" s="1"/>
  <c r="AE84" i="61" s="1"/>
  <c r="AF84" i="61" s="1"/>
  <c r="AG84" i="61" s="1"/>
  <c r="AH84" i="61" s="1"/>
  <c r="AI84" i="61" s="1"/>
  <c r="AJ84" i="61" s="1"/>
  <c r="AK84" i="61" s="1"/>
  <c r="AL84" i="61" s="1"/>
  <c r="AM84" i="61" s="1"/>
  <c r="AN84" i="61" s="1"/>
  <c r="AO84" i="61" s="1"/>
  <c r="AP84" i="61" s="1"/>
  <c r="AQ84" i="61" s="1"/>
  <c r="AR84" i="61" s="1"/>
  <c r="AS84" i="61" s="1"/>
  <c r="AT84" i="61" s="1"/>
  <c r="AU84" i="61" s="1"/>
  <c r="AV84" i="61" s="1"/>
  <c r="AW84" i="61" s="1"/>
  <c r="AX84" i="61" s="1"/>
  <c r="AY84" i="61" s="1"/>
  <c r="AZ84" i="61" s="1"/>
  <c r="BA84" i="61" s="1"/>
  <c r="BB84" i="61" s="1"/>
  <c r="BC84" i="61" s="1"/>
  <c r="BD84" i="61" s="1"/>
  <c r="BE84" i="61" s="1"/>
  <c r="BF84" i="61" s="1"/>
  <c r="BG84" i="61" s="1"/>
  <c r="BH84" i="61" s="1"/>
  <c r="BH81" i="61"/>
  <c r="BG81" i="61"/>
  <c r="BF81" i="61"/>
  <c r="BE81" i="61"/>
  <c r="BD81" i="61"/>
  <c r="BC81" i="61"/>
  <c r="BB81" i="61"/>
  <c r="BA81" i="61"/>
  <c r="AZ81" i="61"/>
  <c r="AY81" i="61"/>
  <c r="AX81" i="61"/>
  <c r="AW81" i="61"/>
  <c r="AV81" i="61"/>
  <c r="AU81" i="61"/>
  <c r="AT81" i="61"/>
  <c r="AS81" i="61"/>
  <c r="AR81" i="61"/>
  <c r="AQ81" i="61"/>
  <c r="AP81" i="61"/>
  <c r="AO81" i="61"/>
  <c r="AN81" i="61"/>
  <c r="AM81" i="61"/>
  <c r="BH75" i="61"/>
  <c r="BG75" i="61"/>
  <c r="BF75" i="61"/>
  <c r="BE75" i="61"/>
  <c r="BD75" i="61"/>
  <c r="BC75" i="61"/>
  <c r="BB75" i="61"/>
  <c r="BA75" i="61"/>
  <c r="AZ75" i="61"/>
  <c r="AY75" i="61"/>
  <c r="AX75" i="61"/>
  <c r="AW75" i="61"/>
  <c r="AV75" i="61"/>
  <c r="AU75" i="61"/>
  <c r="AT75" i="61"/>
  <c r="AS75" i="61"/>
  <c r="AR75" i="61"/>
  <c r="AQ75" i="61"/>
  <c r="AP75" i="61"/>
  <c r="AO75" i="61"/>
  <c r="AN75" i="61"/>
  <c r="AM75" i="61"/>
  <c r="BH72" i="61"/>
  <c r="BG72" i="61"/>
  <c r="BF72" i="61"/>
  <c r="BE72" i="61"/>
  <c r="BD72" i="61"/>
  <c r="BC72" i="61"/>
  <c r="BB72" i="61"/>
  <c r="BA72" i="61"/>
  <c r="AZ72" i="61"/>
  <c r="AY72" i="61"/>
  <c r="AX72" i="61"/>
  <c r="AW72" i="61"/>
  <c r="AV72" i="61"/>
  <c r="AU72" i="61"/>
  <c r="AT72" i="61"/>
  <c r="AS72" i="61"/>
  <c r="AR72" i="61"/>
  <c r="AQ72" i="61"/>
  <c r="AP72" i="61"/>
  <c r="AO72" i="61"/>
  <c r="AN72" i="61"/>
  <c r="AM72" i="61"/>
  <c r="AL72" i="61"/>
  <c r="BH66" i="61"/>
  <c r="BG66" i="61"/>
  <c r="BF66" i="61"/>
  <c r="BE66" i="61"/>
  <c r="BD66" i="61"/>
  <c r="BC66" i="61"/>
  <c r="BB66" i="61"/>
  <c r="BA66" i="61"/>
  <c r="AZ66" i="61"/>
  <c r="AY66" i="61"/>
  <c r="AX66" i="61"/>
  <c r="AW66" i="61"/>
  <c r="AV66" i="61"/>
  <c r="AU66" i="61"/>
  <c r="AT66" i="61"/>
  <c r="AS66" i="61"/>
  <c r="AR66" i="61"/>
  <c r="AQ66" i="61"/>
  <c r="AP66" i="61"/>
  <c r="AO66" i="61"/>
  <c r="AN66" i="61"/>
  <c r="AM66" i="61"/>
  <c r="AL66" i="61"/>
  <c r="AK66" i="61"/>
  <c r="AJ66" i="61"/>
  <c r="AI66" i="61"/>
  <c r="AH66" i="61"/>
  <c r="AG66" i="61"/>
  <c r="AF66" i="61"/>
  <c r="AE66" i="61"/>
  <c r="AD66" i="61"/>
  <c r="AC66" i="61"/>
  <c r="AB66" i="61"/>
  <c r="AA66" i="61"/>
  <c r="Z66" i="61"/>
  <c r="Y66" i="61"/>
  <c r="X66" i="61"/>
  <c r="W66" i="61"/>
  <c r="V66" i="61"/>
  <c r="U66" i="61"/>
  <c r="T66" i="61"/>
  <c r="S66" i="61"/>
  <c r="R66" i="61"/>
  <c r="Q66" i="61"/>
  <c r="P66" i="61"/>
  <c r="O66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BH65" i="61"/>
  <c r="BH67" i="61" s="1"/>
  <c r="BG65" i="61"/>
  <c r="BG67" i="61" s="1"/>
  <c r="BG68" i="61" s="1"/>
  <c r="BF65" i="61"/>
  <c r="BF67" i="61" s="1"/>
  <c r="BE65" i="61"/>
  <c r="BE67" i="61" s="1"/>
  <c r="BD65" i="61"/>
  <c r="BD67" i="61" s="1"/>
  <c r="BC65" i="61"/>
  <c r="BC67" i="61" s="1"/>
  <c r="BB65" i="61"/>
  <c r="BB67" i="61" s="1"/>
  <c r="BA65" i="61"/>
  <c r="BA67" i="61" s="1"/>
  <c r="BA68" i="61" s="1"/>
  <c r="AZ65" i="61"/>
  <c r="AZ67" i="61" s="1"/>
  <c r="AY65" i="61"/>
  <c r="AY67" i="61" s="1"/>
  <c r="AY68" i="61" s="1"/>
  <c r="AX65" i="61"/>
  <c r="AX67" i="61" s="1"/>
  <c r="AX68" i="61" s="1"/>
  <c r="AX69" i="61" s="1"/>
  <c r="AW65" i="61"/>
  <c r="AW67" i="61" s="1"/>
  <c r="AV65" i="61"/>
  <c r="AV67" i="61" s="1"/>
  <c r="AU65" i="61"/>
  <c r="AU67" i="61" s="1"/>
  <c r="AT65" i="61"/>
  <c r="AT67" i="61" s="1"/>
  <c r="AS65" i="61"/>
  <c r="AS67" i="61" s="1"/>
  <c r="AS68" i="61" s="1"/>
  <c r="AR65" i="61"/>
  <c r="AR67" i="61" s="1"/>
  <c r="AR68" i="61" s="1"/>
  <c r="AQ65" i="61"/>
  <c r="AQ67" i="61" s="1"/>
  <c r="AP65" i="61"/>
  <c r="AP67" i="61" s="1"/>
  <c r="AO65" i="61"/>
  <c r="AO67" i="61" s="1"/>
  <c r="AN65" i="61"/>
  <c r="AN67" i="61" s="1"/>
  <c r="AM65" i="61"/>
  <c r="AM67" i="61" s="1"/>
  <c r="AM68" i="61" s="1"/>
  <c r="AL65" i="61"/>
  <c r="AL67" i="61" s="1"/>
  <c r="AK65" i="61"/>
  <c r="AK67" i="61" s="1"/>
  <c r="AK68" i="61" s="1"/>
  <c r="AJ65" i="61"/>
  <c r="AJ67" i="61" s="1"/>
  <c r="AI65" i="61"/>
  <c r="AI67" i="61" s="1"/>
  <c r="AI68" i="61" s="1"/>
  <c r="AH65" i="61"/>
  <c r="AH67" i="61" s="1"/>
  <c r="AG65" i="61"/>
  <c r="AG67" i="61" s="1"/>
  <c r="AG68" i="61" s="1"/>
  <c r="AF65" i="61"/>
  <c r="AF67" i="61" s="1"/>
  <c r="AF68" i="61" s="1"/>
  <c r="AE65" i="61"/>
  <c r="AE67" i="61" s="1"/>
  <c r="AD65" i="61"/>
  <c r="AD67" i="61" s="1"/>
  <c r="AD68" i="61" s="1"/>
  <c r="AC65" i="61"/>
  <c r="AC67" i="61" s="1"/>
  <c r="AC68" i="61" s="1"/>
  <c r="AB65" i="61"/>
  <c r="AB67" i="61" s="1"/>
  <c r="AA65" i="61"/>
  <c r="AA67" i="61" s="1"/>
  <c r="Z65" i="61"/>
  <c r="Z67" i="61" s="1"/>
  <c r="Z68" i="61" s="1"/>
  <c r="Y65" i="61"/>
  <c r="Y67" i="61" s="1"/>
  <c r="X65" i="61"/>
  <c r="X67" i="61" s="1"/>
  <c r="X68" i="61" s="1"/>
  <c r="W65" i="61"/>
  <c r="W67" i="61" s="1"/>
  <c r="W68" i="61" s="1"/>
  <c r="V65" i="61"/>
  <c r="V67" i="61" s="1"/>
  <c r="U65" i="61"/>
  <c r="U67" i="61" s="1"/>
  <c r="T65" i="61"/>
  <c r="T67" i="61" s="1"/>
  <c r="S65" i="61"/>
  <c r="S67" i="61" s="1"/>
  <c r="R65" i="61"/>
  <c r="R67" i="61" s="1"/>
  <c r="Q65" i="61"/>
  <c r="Q67" i="61" s="1"/>
  <c r="Q68" i="61" s="1"/>
  <c r="P65" i="61"/>
  <c r="P67" i="61" s="1"/>
  <c r="O65" i="61"/>
  <c r="O67" i="61" s="1"/>
  <c r="N65" i="61"/>
  <c r="N67" i="61" s="1"/>
  <c r="M65" i="61"/>
  <c r="M67" i="61" s="1"/>
  <c r="L65" i="61"/>
  <c r="L67" i="61" s="1"/>
  <c r="K65" i="61"/>
  <c r="K67" i="61" s="1"/>
  <c r="J65" i="61"/>
  <c r="J67" i="61" s="1"/>
  <c r="I65" i="61"/>
  <c r="I67" i="61" s="1"/>
  <c r="H65" i="61"/>
  <c r="H67" i="61" s="1"/>
  <c r="H68" i="61" s="1"/>
  <c r="G65" i="61"/>
  <c r="G67" i="61" s="1"/>
  <c r="F65" i="61"/>
  <c r="F67" i="61" s="1"/>
  <c r="E65" i="61"/>
  <c r="E67" i="61" s="1"/>
  <c r="E68" i="61" s="1"/>
  <c r="D65" i="61"/>
  <c r="D67" i="61" s="1"/>
  <c r="C65" i="61"/>
  <c r="C67" i="61" s="1"/>
  <c r="C68" i="61" s="1"/>
  <c r="BH64" i="61"/>
  <c r="BG64" i="61"/>
  <c r="BF64" i="61"/>
  <c r="BE64" i="61"/>
  <c r="BD64" i="61"/>
  <c r="BC64" i="61"/>
  <c r="BB64" i="61"/>
  <c r="BA64" i="61"/>
  <c r="AZ64" i="61"/>
  <c r="AY64" i="61"/>
  <c r="AX64" i="61"/>
  <c r="AW64" i="61"/>
  <c r="AV64" i="61"/>
  <c r="AU64" i="61"/>
  <c r="AT64" i="61"/>
  <c r="AS64" i="61"/>
  <c r="AR64" i="61"/>
  <c r="AQ64" i="61"/>
  <c r="AP64" i="61"/>
  <c r="AO64" i="61"/>
  <c r="AN64" i="61"/>
  <c r="AM64" i="61"/>
  <c r="AL64" i="61"/>
  <c r="AK64" i="61"/>
  <c r="AJ64" i="61"/>
  <c r="AI64" i="61"/>
  <c r="AH64" i="61"/>
  <c r="AG64" i="61"/>
  <c r="AF64" i="61"/>
  <c r="AE64" i="61"/>
  <c r="AD64" i="61"/>
  <c r="AC64" i="61"/>
  <c r="AB64" i="61"/>
  <c r="AA64" i="61"/>
  <c r="Z64" i="61"/>
  <c r="Y64" i="61"/>
  <c r="X64" i="61"/>
  <c r="W64" i="61"/>
  <c r="V64" i="61"/>
  <c r="U64" i="61"/>
  <c r="T64" i="61"/>
  <c r="S64" i="61"/>
  <c r="R64" i="61"/>
  <c r="Q64" i="61"/>
  <c r="P64" i="61"/>
  <c r="O64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BH63" i="61"/>
  <c r="BG63" i="61"/>
  <c r="BF63" i="61"/>
  <c r="BE63" i="61"/>
  <c r="BD63" i="61"/>
  <c r="BC63" i="61"/>
  <c r="BB63" i="61"/>
  <c r="BA63" i="61"/>
  <c r="AZ63" i="61"/>
  <c r="AY63" i="61"/>
  <c r="AX63" i="61"/>
  <c r="AW63" i="61"/>
  <c r="AV63" i="61"/>
  <c r="AU63" i="61"/>
  <c r="AT63" i="61"/>
  <c r="AS63" i="61"/>
  <c r="AR63" i="61"/>
  <c r="AQ63" i="61"/>
  <c r="AP63" i="61"/>
  <c r="AO63" i="61"/>
  <c r="AN63" i="61"/>
  <c r="AM63" i="61"/>
  <c r="AL63" i="61"/>
  <c r="AK63" i="61"/>
  <c r="AJ63" i="61"/>
  <c r="AI63" i="61"/>
  <c r="AH63" i="61"/>
  <c r="AG63" i="61"/>
  <c r="AF63" i="61"/>
  <c r="AE63" i="61"/>
  <c r="AD63" i="61"/>
  <c r="AC63" i="61"/>
  <c r="AB63" i="61"/>
  <c r="AA63" i="61"/>
  <c r="Z63" i="61"/>
  <c r="Y63" i="61"/>
  <c r="X63" i="61"/>
  <c r="W63" i="61"/>
  <c r="V63" i="61"/>
  <c r="U63" i="61"/>
  <c r="T63" i="61"/>
  <c r="S63" i="61"/>
  <c r="R63" i="61"/>
  <c r="Q63" i="61"/>
  <c r="P63" i="61"/>
  <c r="O63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C58" i="61"/>
  <c r="D57" i="61"/>
  <c r="E57" i="61" s="1"/>
  <c r="BH51" i="61"/>
  <c r="BH56" i="61" s="1"/>
  <c r="BG51" i="61"/>
  <c r="BG53" i="61" s="1"/>
  <c r="BF51" i="61"/>
  <c r="BE51" i="61"/>
  <c r="BE56" i="61" s="1"/>
  <c r="BD51" i="61"/>
  <c r="BD53" i="61" s="1"/>
  <c r="BC51" i="61"/>
  <c r="BC56" i="61" s="1"/>
  <c r="BB51" i="61"/>
  <c r="BA51" i="61"/>
  <c r="AZ51" i="61"/>
  <c r="AZ56" i="61" s="1"/>
  <c r="AY51" i="61"/>
  <c r="AY56" i="61" s="1"/>
  <c r="AX51" i="61"/>
  <c r="AW51" i="61"/>
  <c r="AW53" i="61" s="1"/>
  <c r="AW54" i="61" s="1"/>
  <c r="AV51" i="61"/>
  <c r="AU51" i="61"/>
  <c r="AU53" i="61" s="1"/>
  <c r="AU55" i="61" s="1"/>
  <c r="AT51" i="61"/>
  <c r="AS51" i="61"/>
  <c r="AS56" i="61" s="1"/>
  <c r="AR51" i="61"/>
  <c r="AQ51" i="61"/>
  <c r="AQ53" i="61" s="1"/>
  <c r="AQ54" i="61" s="1"/>
  <c r="AP51" i="61"/>
  <c r="AO51" i="61"/>
  <c r="AO53" i="61" s="1"/>
  <c r="AO54" i="61" s="1"/>
  <c r="AN51" i="61"/>
  <c r="AM51" i="61"/>
  <c r="AM56" i="61" s="1"/>
  <c r="AL51" i="61"/>
  <c r="AK51" i="61"/>
  <c r="AK53" i="61" s="1"/>
  <c r="AK54" i="61" s="1"/>
  <c r="AJ51" i="61"/>
  <c r="AJ56" i="61" s="1"/>
  <c r="AI51" i="61"/>
  <c r="AI53" i="61" s="1"/>
  <c r="AI54" i="61" s="1"/>
  <c r="AH51" i="61"/>
  <c r="AG51" i="61"/>
  <c r="AG53" i="61" s="1"/>
  <c r="AG54" i="61" s="1"/>
  <c r="AF51" i="61"/>
  <c r="AF53" i="61" s="1"/>
  <c r="AF54" i="61" s="1"/>
  <c r="AE51" i="61"/>
  <c r="AE56" i="61" s="1"/>
  <c r="AD51" i="61"/>
  <c r="AC51" i="61"/>
  <c r="AB51" i="61"/>
  <c r="AB53" i="61" s="1"/>
  <c r="AA51" i="61"/>
  <c r="AA53" i="61" s="1"/>
  <c r="Z51" i="61"/>
  <c r="Y51" i="61"/>
  <c r="X51" i="61"/>
  <c r="X56" i="61" s="1"/>
  <c r="W51" i="61"/>
  <c r="W56" i="61" s="1"/>
  <c r="V51" i="61"/>
  <c r="U51" i="61"/>
  <c r="T51" i="61"/>
  <c r="T53" i="61" s="1"/>
  <c r="T54" i="61" s="1"/>
  <c r="S51" i="61"/>
  <c r="S56" i="61" s="1"/>
  <c r="R51" i="61"/>
  <c r="Q51" i="61"/>
  <c r="Q53" i="61" s="1"/>
  <c r="Q54" i="61" s="1"/>
  <c r="P51" i="61"/>
  <c r="P56" i="61" s="1"/>
  <c r="O51" i="61"/>
  <c r="O53" i="61" s="1"/>
  <c r="O54" i="61" s="1"/>
  <c r="N51" i="61"/>
  <c r="M51" i="61"/>
  <c r="L51" i="61"/>
  <c r="L53" i="61" s="1"/>
  <c r="K51" i="61"/>
  <c r="K53" i="61" s="1"/>
  <c r="J51" i="61"/>
  <c r="I51" i="61"/>
  <c r="H51" i="61"/>
  <c r="H53" i="61" s="1"/>
  <c r="H54" i="61" s="1"/>
  <c r="G51" i="61"/>
  <c r="G53" i="61" s="1"/>
  <c r="G54" i="61" s="1"/>
  <c r="F51" i="61"/>
  <c r="E51" i="61"/>
  <c r="D51" i="61"/>
  <c r="D53" i="61" s="1"/>
  <c r="D54" i="61" s="1"/>
  <c r="C51" i="61"/>
  <c r="C53" i="61" s="1"/>
  <c r="C55" i="61" s="1"/>
  <c r="C128" i="61" s="1"/>
  <c r="BH50" i="61"/>
  <c r="BG50" i="61"/>
  <c r="BF50" i="61"/>
  <c r="BE50" i="61"/>
  <c r="BD50" i="61"/>
  <c r="BC50" i="61"/>
  <c r="BB50" i="61"/>
  <c r="BA50" i="61"/>
  <c r="AZ50" i="61"/>
  <c r="AY50" i="61"/>
  <c r="AX50" i="61"/>
  <c r="AW50" i="61"/>
  <c r="AV50" i="61"/>
  <c r="AU50" i="61"/>
  <c r="AT50" i="61"/>
  <c r="AS50" i="61"/>
  <c r="AR50" i="61"/>
  <c r="AQ50" i="61"/>
  <c r="AP50" i="61"/>
  <c r="AO50" i="61"/>
  <c r="AN50" i="61"/>
  <c r="AM50" i="61"/>
  <c r="AL50" i="61"/>
  <c r="AK50" i="61"/>
  <c r="AJ50" i="61"/>
  <c r="AI50" i="61"/>
  <c r="AH50" i="61"/>
  <c r="AG50" i="61"/>
  <c r="AF50" i="61"/>
  <c r="AE50" i="61"/>
  <c r="AD50" i="61"/>
  <c r="AC50" i="61"/>
  <c r="AB50" i="61"/>
  <c r="AA50" i="61"/>
  <c r="Z50" i="61"/>
  <c r="Y50" i="61"/>
  <c r="X50" i="61"/>
  <c r="W50" i="61"/>
  <c r="V50" i="61"/>
  <c r="U50" i="61"/>
  <c r="T50" i="61"/>
  <c r="S50" i="61"/>
  <c r="R50" i="61"/>
  <c r="Q50" i="61"/>
  <c r="P50" i="61"/>
  <c r="O50" i="61"/>
  <c r="N50" i="61"/>
  <c r="M50" i="61"/>
  <c r="L50" i="61"/>
  <c r="K50" i="61"/>
  <c r="J50" i="61"/>
  <c r="I50" i="61"/>
  <c r="H50" i="61"/>
  <c r="G50" i="61"/>
  <c r="F50" i="61"/>
  <c r="E50" i="61"/>
  <c r="D50" i="61"/>
  <c r="C50" i="61"/>
  <c r="BH49" i="61"/>
  <c r="BG49" i="61"/>
  <c r="BF49" i="61"/>
  <c r="BE49" i="61"/>
  <c r="BD49" i="61"/>
  <c r="BC49" i="61"/>
  <c r="BB49" i="61"/>
  <c r="BA49" i="61"/>
  <c r="AZ49" i="61"/>
  <c r="AY49" i="61"/>
  <c r="AX49" i="61"/>
  <c r="AW49" i="61"/>
  <c r="AV49" i="61"/>
  <c r="AU49" i="61"/>
  <c r="AT49" i="61"/>
  <c r="AS49" i="61"/>
  <c r="AR49" i="61"/>
  <c r="AQ49" i="61"/>
  <c r="AP49" i="61"/>
  <c r="AO49" i="61"/>
  <c r="AN49" i="61"/>
  <c r="AM49" i="61"/>
  <c r="AL49" i="61"/>
  <c r="AK49" i="61"/>
  <c r="AJ49" i="61"/>
  <c r="AI49" i="61"/>
  <c r="AH49" i="61"/>
  <c r="AG49" i="61"/>
  <c r="AF49" i="61"/>
  <c r="AE49" i="61"/>
  <c r="AD49" i="61"/>
  <c r="AC49" i="61"/>
  <c r="AB49" i="61"/>
  <c r="AA49" i="61"/>
  <c r="Z49" i="61"/>
  <c r="Y49" i="61"/>
  <c r="X49" i="61"/>
  <c r="W49" i="61"/>
  <c r="V49" i="61"/>
  <c r="U49" i="61"/>
  <c r="T49" i="61"/>
  <c r="S49" i="61"/>
  <c r="R49" i="61"/>
  <c r="Q49" i="61"/>
  <c r="P49" i="61"/>
  <c r="O49" i="61"/>
  <c r="N49" i="61"/>
  <c r="M49" i="61"/>
  <c r="L49" i="61"/>
  <c r="K49" i="61"/>
  <c r="J49" i="61"/>
  <c r="I49" i="61"/>
  <c r="H49" i="61"/>
  <c r="G49" i="61"/>
  <c r="F49" i="61"/>
  <c r="E49" i="61"/>
  <c r="D49" i="61"/>
  <c r="C49" i="61"/>
  <c r="AL46" i="61"/>
  <c r="AK46" i="61"/>
  <c r="AJ45" i="61" s="1"/>
  <c r="AJ46" i="61"/>
  <c r="AI46" i="61"/>
  <c r="AH46" i="61"/>
  <c r="AG46" i="61"/>
  <c r="AF46" i="61"/>
  <c r="AE46" i="61"/>
  <c r="AD46" i="61"/>
  <c r="AC46" i="61"/>
  <c r="AB45" i="61" s="1"/>
  <c r="AB46" i="61"/>
  <c r="AA46" i="61"/>
  <c r="Z46" i="61"/>
  <c r="Y46" i="61"/>
  <c r="X46" i="61"/>
  <c r="W46" i="61"/>
  <c r="V45" i="61" s="1"/>
  <c r="V46" i="61"/>
  <c r="U46" i="61"/>
  <c r="T45" i="61" s="1"/>
  <c r="T46" i="61"/>
  <c r="S46" i="61"/>
  <c r="R45" i="61" s="1"/>
  <c r="R46" i="61"/>
  <c r="Q46" i="61"/>
  <c r="P45" i="61" s="1"/>
  <c r="P46" i="61"/>
  <c r="O46" i="61"/>
  <c r="N46" i="61"/>
  <c r="M46" i="61"/>
  <c r="L45" i="61" s="1"/>
  <c r="L46" i="61"/>
  <c r="K46" i="61"/>
  <c r="J46" i="61"/>
  <c r="I46" i="61"/>
  <c r="H46" i="61"/>
  <c r="G46" i="61"/>
  <c r="F45" i="61" s="1"/>
  <c r="F46" i="61"/>
  <c r="E46" i="61"/>
  <c r="D45" i="61" s="1"/>
  <c r="D46" i="61"/>
  <c r="C46" i="61"/>
  <c r="BH45" i="61"/>
  <c r="BG45" i="61"/>
  <c r="BF45" i="61"/>
  <c r="BE45" i="61"/>
  <c r="BD45" i="61"/>
  <c r="BC45" i="61"/>
  <c r="BB45" i="61"/>
  <c r="BA45" i="61"/>
  <c r="AZ45" i="61"/>
  <c r="AY45" i="61"/>
  <c r="AX45" i="61"/>
  <c r="AW45" i="61"/>
  <c r="AV45" i="61"/>
  <c r="AU45" i="61"/>
  <c r="AT45" i="61"/>
  <c r="AS45" i="61"/>
  <c r="AR45" i="61"/>
  <c r="AQ45" i="61"/>
  <c r="AP45" i="61"/>
  <c r="AO45" i="61"/>
  <c r="AN45" i="61"/>
  <c r="AM45" i="61"/>
  <c r="AL45" i="61"/>
  <c r="AK45" i="61"/>
  <c r="AI45" i="61"/>
  <c r="AH45" i="61"/>
  <c r="AG45" i="61"/>
  <c r="AE45" i="61"/>
  <c r="AC45" i="61"/>
  <c r="AA45" i="61"/>
  <c r="Z45" i="61"/>
  <c r="Y45" i="61"/>
  <c r="W45" i="61"/>
  <c r="U45" i="61"/>
  <c r="S45" i="61"/>
  <c r="Q45" i="61"/>
  <c r="O45" i="61"/>
  <c r="N45" i="61"/>
  <c r="M45" i="61"/>
  <c r="K45" i="61"/>
  <c r="J45" i="61"/>
  <c r="I45" i="61"/>
  <c r="G45" i="61"/>
  <c r="E45" i="61"/>
  <c r="C45" i="61"/>
  <c r="D42" i="61"/>
  <c r="E42" i="61" s="1"/>
  <c r="F42" i="61" s="1"/>
  <c r="G42" i="61" s="1"/>
  <c r="BH41" i="61"/>
  <c r="BG41" i="61"/>
  <c r="BF41" i="61"/>
  <c r="BE41" i="61"/>
  <c r="BD41" i="61"/>
  <c r="BC41" i="61"/>
  <c r="BB41" i="61"/>
  <c r="BA41" i="61"/>
  <c r="AZ41" i="61"/>
  <c r="AY41" i="61"/>
  <c r="AX41" i="61"/>
  <c r="AW41" i="61"/>
  <c r="AV41" i="61"/>
  <c r="AU41" i="61"/>
  <c r="AT41" i="61"/>
  <c r="AS41" i="61"/>
  <c r="AR41" i="61"/>
  <c r="AQ41" i="61"/>
  <c r="AP41" i="61"/>
  <c r="AO41" i="61"/>
  <c r="AN41" i="61"/>
  <c r="AM41" i="61"/>
  <c r="AL41" i="61"/>
  <c r="AK41" i="61"/>
  <c r="AJ41" i="61"/>
  <c r="AI41" i="61"/>
  <c r="AH41" i="61"/>
  <c r="AG41" i="61"/>
  <c r="AF41" i="61"/>
  <c r="AE41" i="61"/>
  <c r="AD41" i="61"/>
  <c r="AC41" i="61"/>
  <c r="AB41" i="61"/>
  <c r="AA41" i="61"/>
  <c r="Z41" i="61"/>
  <c r="Y41" i="61"/>
  <c r="X41" i="61"/>
  <c r="W41" i="61"/>
  <c r="V41" i="61"/>
  <c r="U41" i="61"/>
  <c r="T41" i="61"/>
  <c r="S41" i="61"/>
  <c r="R41" i="61"/>
  <c r="Q41" i="61"/>
  <c r="P41" i="61"/>
  <c r="O41" i="61"/>
  <c r="N41" i="61"/>
  <c r="M41" i="61"/>
  <c r="L41" i="61"/>
  <c r="K41" i="61"/>
  <c r="J41" i="61"/>
  <c r="I41" i="61"/>
  <c r="H41" i="61"/>
  <c r="G41" i="61"/>
  <c r="F41" i="61"/>
  <c r="E41" i="61"/>
  <c r="D41" i="61"/>
  <c r="C41" i="61"/>
  <c r="BH40" i="61"/>
  <c r="BG40" i="61"/>
  <c r="BF40" i="61"/>
  <c r="BE40" i="61"/>
  <c r="BD40" i="61"/>
  <c r="BC40" i="61"/>
  <c r="BB40" i="61"/>
  <c r="BA40" i="61"/>
  <c r="AZ40" i="61"/>
  <c r="AY40" i="61"/>
  <c r="AX40" i="61"/>
  <c r="AW40" i="61"/>
  <c r="AV40" i="61"/>
  <c r="AU40" i="61"/>
  <c r="AT40" i="61"/>
  <c r="AS40" i="61"/>
  <c r="AR40" i="61"/>
  <c r="AQ40" i="61"/>
  <c r="AP40" i="61"/>
  <c r="AO40" i="61"/>
  <c r="AN40" i="61"/>
  <c r="AM40" i="61"/>
  <c r="AL40" i="61"/>
  <c r="AK40" i="61"/>
  <c r="AJ40" i="61"/>
  <c r="AI40" i="61"/>
  <c r="AH40" i="61"/>
  <c r="AG40" i="61"/>
  <c r="AF40" i="61"/>
  <c r="AE40" i="61"/>
  <c r="AD40" i="61"/>
  <c r="AC40" i="61"/>
  <c r="AB40" i="61"/>
  <c r="AA40" i="61"/>
  <c r="Z40" i="61"/>
  <c r="Y40" i="61"/>
  <c r="X40" i="61"/>
  <c r="W40" i="61"/>
  <c r="V40" i="61"/>
  <c r="U40" i="61"/>
  <c r="T40" i="61"/>
  <c r="S40" i="61"/>
  <c r="R40" i="61"/>
  <c r="Q40" i="61"/>
  <c r="P40" i="61"/>
  <c r="O40" i="61"/>
  <c r="N40" i="61"/>
  <c r="M40" i="61"/>
  <c r="L40" i="61"/>
  <c r="K40" i="61"/>
  <c r="J40" i="61"/>
  <c r="I40" i="61"/>
  <c r="H40" i="61"/>
  <c r="G40" i="61"/>
  <c r="F40" i="61"/>
  <c r="E40" i="61"/>
  <c r="D40" i="61"/>
  <c r="C40" i="61"/>
  <c r="BH39" i="61"/>
  <c r="BG39" i="61"/>
  <c r="BF39" i="61"/>
  <c r="BE39" i="61"/>
  <c r="BD39" i="61"/>
  <c r="BC39" i="61"/>
  <c r="BB39" i="61"/>
  <c r="BA39" i="61"/>
  <c r="AZ39" i="61"/>
  <c r="AY39" i="61"/>
  <c r="AX39" i="61"/>
  <c r="AW39" i="61"/>
  <c r="AV39" i="61"/>
  <c r="AU39" i="61"/>
  <c r="AT39" i="61"/>
  <c r="AS39" i="61"/>
  <c r="AR39" i="61"/>
  <c r="AQ39" i="61"/>
  <c r="AP39" i="61"/>
  <c r="AO39" i="61"/>
  <c r="AN39" i="61"/>
  <c r="AM39" i="61"/>
  <c r="AI39" i="61"/>
  <c r="AH39" i="61"/>
  <c r="AE39" i="61"/>
  <c r="AA39" i="61"/>
  <c r="Z39" i="61"/>
  <c r="W39" i="61"/>
  <c r="S39" i="61"/>
  <c r="O39" i="61"/>
  <c r="N39" i="61"/>
  <c r="L39" i="61"/>
  <c r="K39" i="61"/>
  <c r="G39" i="61"/>
  <c r="C39" i="61"/>
  <c r="BH38" i="61"/>
  <c r="BG38" i="61"/>
  <c r="BF38" i="61"/>
  <c r="BE38" i="61"/>
  <c r="BD38" i="61"/>
  <c r="BC38" i="61"/>
  <c r="BB38" i="61"/>
  <c r="BA38" i="61"/>
  <c r="AZ38" i="61"/>
  <c r="AY38" i="61"/>
  <c r="AX38" i="61"/>
  <c r="AW38" i="61"/>
  <c r="AV38" i="61"/>
  <c r="AU38" i="61"/>
  <c r="AT38" i="61"/>
  <c r="AS38" i="61"/>
  <c r="AR38" i="61"/>
  <c r="AQ38" i="61"/>
  <c r="AP38" i="61"/>
  <c r="AO38" i="61"/>
  <c r="AN38" i="61"/>
  <c r="AM38" i="61"/>
  <c r="AL38" i="61"/>
  <c r="AK38" i="61"/>
  <c r="AJ38" i="61"/>
  <c r="AI38" i="61"/>
  <c r="AH38" i="61"/>
  <c r="AG38" i="61"/>
  <c r="AF38" i="61"/>
  <c r="AE38" i="61"/>
  <c r="AD38" i="61"/>
  <c r="AC38" i="61"/>
  <c r="AB38" i="61"/>
  <c r="AA38" i="61"/>
  <c r="Z38" i="61"/>
  <c r="Y38" i="61"/>
  <c r="X38" i="61"/>
  <c r="W38" i="61"/>
  <c r="V38" i="61"/>
  <c r="U38" i="61"/>
  <c r="T38" i="61"/>
  <c r="S38" i="61"/>
  <c r="R38" i="61"/>
  <c r="Q38" i="61"/>
  <c r="P38" i="61"/>
  <c r="O38" i="61"/>
  <c r="N38" i="61"/>
  <c r="M38" i="61"/>
  <c r="L38" i="61"/>
  <c r="K38" i="61"/>
  <c r="J38" i="61"/>
  <c r="I38" i="61"/>
  <c r="H38" i="61"/>
  <c r="G38" i="61"/>
  <c r="F38" i="61"/>
  <c r="E38" i="61"/>
  <c r="D38" i="61"/>
  <c r="D43" i="61" s="1"/>
  <c r="C38" i="61"/>
  <c r="C43" i="61" s="1"/>
  <c r="AL36" i="61"/>
  <c r="AK36" i="61"/>
  <c r="AJ36" i="61"/>
  <c r="AJ39" i="61" s="1"/>
  <c r="AI36" i="61"/>
  <c r="AH36" i="61"/>
  <c r="AG35" i="61" s="1"/>
  <c r="AG36" i="61"/>
  <c r="AG39" i="61" s="1"/>
  <c r="AF36" i="61"/>
  <c r="AE36" i="61"/>
  <c r="AD36" i="61"/>
  <c r="AC35" i="61" s="1"/>
  <c r="AC36" i="61"/>
  <c r="AC39" i="61" s="1"/>
  <c r="AB36" i="61"/>
  <c r="AA35" i="61" s="1"/>
  <c r="AA36" i="61"/>
  <c r="Z36" i="61"/>
  <c r="Y35" i="61" s="1"/>
  <c r="Y36" i="61"/>
  <c r="Y39" i="61" s="1"/>
  <c r="X36" i="61"/>
  <c r="X39" i="61" s="1"/>
  <c r="W36" i="61"/>
  <c r="V36" i="61"/>
  <c r="U36" i="61"/>
  <c r="T36" i="61"/>
  <c r="S35" i="61" s="1"/>
  <c r="S36" i="61"/>
  <c r="R36" i="61"/>
  <c r="Q35" i="61" s="1"/>
  <c r="Q36" i="61"/>
  <c r="Q39" i="61" s="1"/>
  <c r="P36" i="61"/>
  <c r="O36" i="61"/>
  <c r="N36" i="61"/>
  <c r="M35" i="61" s="1"/>
  <c r="M36" i="61"/>
  <c r="M39" i="61" s="1"/>
  <c r="L36" i="61"/>
  <c r="K36" i="61"/>
  <c r="J36" i="61"/>
  <c r="I35" i="61" s="1"/>
  <c r="I36" i="61"/>
  <c r="I39" i="61" s="1"/>
  <c r="H36" i="61"/>
  <c r="G35" i="61" s="1"/>
  <c r="G36" i="61"/>
  <c r="F36" i="61"/>
  <c r="E36" i="61"/>
  <c r="D36" i="61"/>
  <c r="D39" i="61" s="1"/>
  <c r="C36" i="61"/>
  <c r="BH35" i="61"/>
  <c r="BG35" i="61"/>
  <c r="BF35" i="61"/>
  <c r="BE35" i="61"/>
  <c r="BD35" i="61"/>
  <c r="BC35" i="61"/>
  <c r="BB35" i="61"/>
  <c r="BA35" i="61"/>
  <c r="AZ35" i="61"/>
  <c r="AY35" i="61"/>
  <c r="AX35" i="61"/>
  <c r="AW35" i="61"/>
  <c r="AV35" i="61"/>
  <c r="AU35" i="61"/>
  <c r="AT35" i="61"/>
  <c r="AS35" i="61"/>
  <c r="AR35" i="61"/>
  <c r="AQ35" i="61"/>
  <c r="AP35" i="61"/>
  <c r="AO35" i="61"/>
  <c r="AN35" i="61"/>
  <c r="AM35" i="61"/>
  <c r="AL35" i="61"/>
  <c r="AI35" i="61"/>
  <c r="AH35" i="61"/>
  <c r="AF35" i="61"/>
  <c r="AD35" i="61"/>
  <c r="AB35" i="61"/>
  <c r="Z35" i="61"/>
  <c r="X35" i="61"/>
  <c r="W35" i="61"/>
  <c r="V35" i="61"/>
  <c r="R35" i="61"/>
  <c r="P35" i="61"/>
  <c r="N35" i="61"/>
  <c r="L35" i="61"/>
  <c r="K35" i="61"/>
  <c r="J35" i="61"/>
  <c r="H35" i="61"/>
  <c r="F35" i="61"/>
  <c r="C35" i="61"/>
  <c r="D32" i="61"/>
  <c r="E32" i="61" s="1"/>
  <c r="F32" i="61" s="1"/>
  <c r="G32" i="61" s="1"/>
  <c r="H32" i="61" s="1"/>
  <c r="I32" i="61" s="1"/>
  <c r="J32" i="61" s="1"/>
  <c r="K32" i="61" s="1"/>
  <c r="L32" i="61" s="1"/>
  <c r="M32" i="61" s="1"/>
  <c r="N32" i="61" s="1"/>
  <c r="O32" i="61" s="1"/>
  <c r="P32" i="61" s="1"/>
  <c r="Q32" i="61" s="1"/>
  <c r="R32" i="61" s="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J29" i="61"/>
  <c r="AI29" i="61"/>
  <c r="AF29" i="61"/>
  <c r="AE29" i="61"/>
  <c r="AB29" i="61"/>
  <c r="AA29" i="61"/>
  <c r="X29" i="61"/>
  <c r="T29" i="61"/>
  <c r="S29" i="61"/>
  <c r="P29" i="61"/>
  <c r="O29" i="61"/>
  <c r="D29" i="61"/>
  <c r="BH25" i="61"/>
  <c r="BG25" i="61"/>
  <c r="BF25" i="61"/>
  <c r="BE25" i="61"/>
  <c r="BD25" i="61"/>
  <c r="BC25" i="61"/>
  <c r="BB25" i="61"/>
  <c r="BA25" i="61"/>
  <c r="AZ25" i="61"/>
  <c r="AY25" i="61"/>
  <c r="AX25" i="61"/>
  <c r="AW25" i="61"/>
  <c r="AV25" i="61"/>
  <c r="AU25" i="61"/>
  <c r="AT25" i="61"/>
  <c r="AS25" i="61"/>
  <c r="AR25" i="61"/>
  <c r="AQ25" i="61"/>
  <c r="AP25" i="61"/>
  <c r="AO25" i="61"/>
  <c r="AN25" i="61"/>
  <c r="AM25" i="61"/>
  <c r="AL25" i="61"/>
  <c r="AK25" i="61"/>
  <c r="AJ25" i="61"/>
  <c r="AI25" i="61"/>
  <c r="AH25" i="61"/>
  <c r="AG25" i="61"/>
  <c r="AF25" i="61"/>
  <c r="AE25" i="61"/>
  <c r="AD25" i="61"/>
  <c r="AC25" i="61"/>
  <c r="AB25" i="61"/>
  <c r="AA25" i="61"/>
  <c r="Z25" i="61"/>
  <c r="Y25" i="61"/>
  <c r="X25" i="61"/>
  <c r="W25" i="61"/>
  <c r="V25" i="61"/>
  <c r="U25" i="61"/>
  <c r="T25" i="61"/>
  <c r="S25" i="61"/>
  <c r="R25" i="61"/>
  <c r="Q25" i="61"/>
  <c r="P25" i="61"/>
  <c r="O25" i="61"/>
  <c r="N25" i="61"/>
  <c r="M25" i="61"/>
  <c r="L25" i="61"/>
  <c r="K25" i="61"/>
  <c r="J25" i="61"/>
  <c r="I25" i="61"/>
  <c r="H25" i="61"/>
  <c r="G25" i="61"/>
  <c r="F25" i="61"/>
  <c r="E25" i="61"/>
  <c r="D25" i="61"/>
  <c r="C25" i="61"/>
  <c r="BH24" i="61"/>
  <c r="BG24" i="61"/>
  <c r="BF24" i="61"/>
  <c r="BE24" i="61"/>
  <c r="BD24" i="61"/>
  <c r="BC24" i="61"/>
  <c r="BB24" i="61"/>
  <c r="BA24" i="61"/>
  <c r="AZ24" i="61"/>
  <c r="AY24" i="61"/>
  <c r="AX24" i="61"/>
  <c r="AW24" i="61"/>
  <c r="AV24" i="61"/>
  <c r="AU24" i="61"/>
  <c r="AT24" i="61"/>
  <c r="AS24" i="61"/>
  <c r="AR24" i="61"/>
  <c r="AQ24" i="61"/>
  <c r="AP24" i="61"/>
  <c r="AO24" i="61"/>
  <c r="AN24" i="61"/>
  <c r="AM24" i="61"/>
  <c r="AL24" i="61"/>
  <c r="AK24" i="61"/>
  <c r="AJ24" i="61"/>
  <c r="AI24" i="61"/>
  <c r="AH24" i="61"/>
  <c r="AG24" i="61"/>
  <c r="AF24" i="61"/>
  <c r="AE24" i="61"/>
  <c r="AD24" i="61"/>
  <c r="AC24" i="61"/>
  <c r="AB24" i="61"/>
  <c r="AA24" i="61"/>
  <c r="Z24" i="61"/>
  <c r="Y24" i="61"/>
  <c r="X24" i="61"/>
  <c r="W24" i="61"/>
  <c r="V24" i="61"/>
  <c r="U24" i="61"/>
  <c r="T24" i="61"/>
  <c r="S24" i="61"/>
  <c r="R24" i="61"/>
  <c r="Q24" i="61"/>
  <c r="P24" i="61"/>
  <c r="O24" i="61"/>
  <c r="N24" i="61"/>
  <c r="M24" i="61"/>
  <c r="L24" i="61"/>
  <c r="K24" i="61"/>
  <c r="J24" i="61"/>
  <c r="I24" i="61"/>
  <c r="H24" i="61"/>
  <c r="G24" i="61"/>
  <c r="F24" i="61"/>
  <c r="E24" i="61"/>
  <c r="D24" i="61"/>
  <c r="C24" i="61"/>
  <c r="BH23" i="61"/>
  <c r="BG23" i="61"/>
  <c r="BF23" i="61"/>
  <c r="BE23" i="61"/>
  <c r="BD23" i="61"/>
  <c r="BC23" i="61"/>
  <c r="BB23" i="61"/>
  <c r="BA23" i="61"/>
  <c r="AZ23" i="61"/>
  <c r="AY23" i="61"/>
  <c r="AX23" i="61"/>
  <c r="AW23" i="61"/>
  <c r="AV23" i="61"/>
  <c r="AU23" i="61"/>
  <c r="AT23" i="61"/>
  <c r="AS23" i="61"/>
  <c r="AR23" i="61"/>
  <c r="AQ23" i="61"/>
  <c r="AP23" i="61"/>
  <c r="AO23" i="61"/>
  <c r="AN23" i="61"/>
  <c r="AM23" i="61"/>
  <c r="AL23" i="61"/>
  <c r="AI23" i="61"/>
  <c r="AD23" i="61"/>
  <c r="AA23" i="61"/>
  <c r="Z23" i="61"/>
  <c r="V23" i="61"/>
  <c r="S23" i="61"/>
  <c r="O23" i="61"/>
  <c r="N23" i="61"/>
  <c r="K23" i="61"/>
  <c r="J23" i="61"/>
  <c r="F23" i="61"/>
  <c r="AL21" i="61"/>
  <c r="AL29" i="61" s="1"/>
  <c r="AK21" i="61"/>
  <c r="AJ20" i="61" s="1"/>
  <c r="AJ21" i="61"/>
  <c r="AJ23" i="61" s="1"/>
  <c r="AI21" i="61"/>
  <c r="AH20" i="61" s="1"/>
  <c r="AH21" i="61"/>
  <c r="AH29" i="61" s="1"/>
  <c r="AG21" i="61"/>
  <c r="AG29" i="61" s="1"/>
  <c r="AF21" i="61"/>
  <c r="AF23" i="61" s="1"/>
  <c r="AE21" i="61"/>
  <c r="AD20" i="61" s="1"/>
  <c r="AD21" i="61"/>
  <c r="AD29" i="61" s="1"/>
  <c r="AC21" i="61"/>
  <c r="AC23" i="61" s="1"/>
  <c r="AB21" i="61"/>
  <c r="AB23" i="61" s="1"/>
  <c r="AA21" i="61"/>
  <c r="Z20" i="61" s="1"/>
  <c r="Z21" i="61"/>
  <c r="Z29" i="61" s="1"/>
  <c r="Y21" i="61"/>
  <c r="Y29" i="61" s="1"/>
  <c r="X21" i="61"/>
  <c r="X23" i="61" s="1"/>
  <c r="W21" i="61"/>
  <c r="V21" i="61"/>
  <c r="V29" i="61" s="1"/>
  <c r="U21" i="61"/>
  <c r="T20" i="61" s="1"/>
  <c r="T21" i="61"/>
  <c r="T23" i="61" s="1"/>
  <c r="S21" i="61"/>
  <c r="R20" i="61" s="1"/>
  <c r="R21" i="61"/>
  <c r="R29" i="61" s="1"/>
  <c r="Q21" i="61"/>
  <c r="Q29" i="61" s="1"/>
  <c r="P21" i="61"/>
  <c r="P23" i="61" s="1"/>
  <c r="O21" i="61"/>
  <c r="N20" i="61" s="1"/>
  <c r="N21" i="61"/>
  <c r="N29" i="61" s="1"/>
  <c r="M21" i="61"/>
  <c r="M23" i="61" s="1"/>
  <c r="L21" i="61"/>
  <c r="L23" i="61" s="1"/>
  <c r="K21" i="61"/>
  <c r="J20" i="61" s="1"/>
  <c r="J21" i="61"/>
  <c r="I21" i="61"/>
  <c r="I23" i="61" s="1"/>
  <c r="H21" i="61"/>
  <c r="H23" i="61" s="1"/>
  <c r="G21" i="61"/>
  <c r="F21" i="61"/>
  <c r="E21" i="61"/>
  <c r="D20" i="61" s="1"/>
  <c r="D21" i="61"/>
  <c r="D23" i="61" s="1"/>
  <c r="C21" i="61"/>
  <c r="C29" i="61" s="1"/>
  <c r="BH20" i="61"/>
  <c r="BG20" i="61"/>
  <c r="BF20" i="61"/>
  <c r="BE20" i="61"/>
  <c r="BD20" i="61"/>
  <c r="BC20" i="61"/>
  <c r="BB20" i="61"/>
  <c r="BA20" i="61"/>
  <c r="AZ20" i="61"/>
  <c r="AY20" i="61"/>
  <c r="AX20" i="61"/>
  <c r="AW20" i="61"/>
  <c r="AV20" i="61"/>
  <c r="AU20" i="61"/>
  <c r="AT20" i="61"/>
  <c r="AS20" i="61"/>
  <c r="AR20" i="61"/>
  <c r="AQ20" i="61"/>
  <c r="AP20" i="61"/>
  <c r="AO20" i="61"/>
  <c r="AN20" i="61"/>
  <c r="AM20" i="61"/>
  <c r="AL20" i="61"/>
  <c r="AK20" i="61"/>
  <c r="AI20" i="61"/>
  <c r="AG20" i="61"/>
  <c r="AE20" i="61"/>
  <c r="AC20" i="61"/>
  <c r="AB20" i="61"/>
  <c r="AA20" i="61"/>
  <c r="Y20" i="61"/>
  <c r="W20" i="61"/>
  <c r="U20" i="61"/>
  <c r="S20" i="61"/>
  <c r="Q20" i="61"/>
  <c r="P20" i="61"/>
  <c r="O20" i="61"/>
  <c r="M20" i="61"/>
  <c r="K20" i="61"/>
  <c r="I20" i="61"/>
  <c r="G20" i="61"/>
  <c r="E20" i="61"/>
  <c r="C20" i="61"/>
  <c r="BH17" i="61"/>
  <c r="BG17" i="61"/>
  <c r="BF17" i="61"/>
  <c r="BE17" i="61"/>
  <c r="BD17" i="61"/>
  <c r="BC17" i="61"/>
  <c r="BB17" i="61"/>
  <c r="BA17" i="61"/>
  <c r="AZ17" i="61"/>
  <c r="AY17" i="61"/>
  <c r="AX17" i="61"/>
  <c r="AW17" i="61"/>
  <c r="AV17" i="61"/>
  <c r="AU17" i="61"/>
  <c r="AT17" i="61"/>
  <c r="AS17" i="61"/>
  <c r="AR17" i="61"/>
  <c r="AQ17" i="61"/>
  <c r="AP17" i="61"/>
  <c r="AO17" i="61"/>
  <c r="AN17" i="61"/>
  <c r="AM17" i="61"/>
  <c r="AL17" i="61"/>
  <c r="AK17" i="61"/>
  <c r="AJ17" i="61"/>
  <c r="AI17" i="61"/>
  <c r="AH17" i="61"/>
  <c r="AG17" i="61"/>
  <c r="AF17" i="61"/>
  <c r="AE17" i="61"/>
  <c r="AD17" i="61"/>
  <c r="AC17" i="61"/>
  <c r="AB17" i="61"/>
  <c r="AA17" i="61"/>
  <c r="Z17" i="61"/>
  <c r="Y17" i="61"/>
  <c r="X17" i="61"/>
  <c r="W17" i="61"/>
  <c r="V17" i="61"/>
  <c r="U17" i="61"/>
  <c r="T17" i="61"/>
  <c r="S17" i="61"/>
  <c r="R17" i="61"/>
  <c r="Q17" i="61"/>
  <c r="P17" i="61"/>
  <c r="O17" i="61"/>
  <c r="N17" i="61"/>
  <c r="M17" i="61"/>
  <c r="L17" i="61"/>
  <c r="K17" i="61"/>
  <c r="J17" i="61"/>
  <c r="I17" i="61"/>
  <c r="H17" i="61"/>
  <c r="G17" i="61"/>
  <c r="F17" i="61"/>
  <c r="E17" i="61"/>
  <c r="D17" i="61"/>
  <c r="C17" i="61"/>
  <c r="BH16" i="61"/>
  <c r="BG16" i="61"/>
  <c r="BF16" i="61"/>
  <c r="BE16" i="61"/>
  <c r="BD16" i="61"/>
  <c r="BC16" i="61"/>
  <c r="BB16" i="61"/>
  <c r="BA16" i="61"/>
  <c r="AZ16" i="61"/>
  <c r="AY16" i="61"/>
  <c r="AX16" i="61"/>
  <c r="AW16" i="61"/>
  <c r="AV16" i="61"/>
  <c r="AU16" i="61"/>
  <c r="AT16" i="61"/>
  <c r="AS16" i="61"/>
  <c r="AR16" i="61"/>
  <c r="AQ16" i="61"/>
  <c r="AP16" i="61"/>
  <c r="AO16" i="61"/>
  <c r="AN16" i="61"/>
  <c r="AM16" i="61"/>
  <c r="AL16" i="61"/>
  <c r="AK16" i="61"/>
  <c r="AJ16" i="61"/>
  <c r="AI16" i="61"/>
  <c r="AH16" i="61"/>
  <c r="AG16" i="61"/>
  <c r="AF16" i="61"/>
  <c r="AE16" i="61"/>
  <c r="AD16" i="61"/>
  <c r="AC16" i="61"/>
  <c r="AB16" i="61"/>
  <c r="AA16" i="61"/>
  <c r="Z16" i="61"/>
  <c r="Y16" i="61"/>
  <c r="X16" i="61"/>
  <c r="W16" i="61"/>
  <c r="V16" i="61"/>
  <c r="U16" i="61"/>
  <c r="T16" i="61"/>
  <c r="S16" i="61"/>
  <c r="R16" i="61"/>
  <c r="Q16" i="61"/>
  <c r="P16" i="61"/>
  <c r="O16" i="61"/>
  <c r="N16" i="61"/>
  <c r="M16" i="61"/>
  <c r="L16" i="61"/>
  <c r="K16" i="61"/>
  <c r="J16" i="61"/>
  <c r="I16" i="61"/>
  <c r="H16" i="61"/>
  <c r="G16" i="61"/>
  <c r="F16" i="61"/>
  <c r="E16" i="61"/>
  <c r="D16" i="61"/>
  <c r="C16" i="61"/>
  <c r="H7" i="61"/>
  <c r="G7" i="61"/>
  <c r="F7" i="61"/>
  <c r="E7" i="61"/>
  <c r="D7" i="61"/>
  <c r="C7" i="61"/>
  <c r="H6" i="61"/>
  <c r="G6" i="61"/>
  <c r="F6" i="61"/>
  <c r="E6" i="61"/>
  <c r="D6" i="61"/>
  <c r="C6" i="61"/>
  <c r="BH5" i="61"/>
  <c r="BG5" i="61"/>
  <c r="BF5" i="61"/>
  <c r="BE5" i="61"/>
  <c r="BD5" i="61"/>
  <c r="BC5" i="61"/>
  <c r="BB5" i="61"/>
  <c r="BA5" i="61"/>
  <c r="AZ5" i="61"/>
  <c r="AY5" i="61"/>
  <c r="AX5" i="61"/>
  <c r="AW5" i="61"/>
  <c r="AV5" i="61"/>
  <c r="AU5" i="61"/>
  <c r="AT5" i="61"/>
  <c r="AS5" i="61"/>
  <c r="AR5" i="61"/>
  <c r="AQ5" i="61"/>
  <c r="AP5" i="61"/>
  <c r="AO5" i="61"/>
  <c r="AN5" i="61"/>
  <c r="AM5" i="61"/>
  <c r="AL5" i="61"/>
  <c r="AK5" i="61"/>
  <c r="AJ5" i="61"/>
  <c r="AI5" i="61"/>
  <c r="AH5" i="61"/>
  <c r="AG5" i="61"/>
  <c r="AF5" i="61"/>
  <c r="AE5" i="61"/>
  <c r="AD5" i="61"/>
  <c r="AC5" i="61"/>
  <c r="AB5" i="61"/>
  <c r="AA5" i="61"/>
  <c r="Z5" i="61"/>
  <c r="Y5" i="61"/>
  <c r="X5" i="61"/>
  <c r="W5" i="61"/>
  <c r="V5" i="61"/>
  <c r="U5" i="61"/>
  <c r="T5" i="61"/>
  <c r="S5" i="61"/>
  <c r="R5" i="61"/>
  <c r="Q5" i="61"/>
  <c r="P5" i="61"/>
  <c r="O5" i="61"/>
  <c r="N5" i="61"/>
  <c r="M5" i="61"/>
  <c r="L5" i="61"/>
  <c r="K5" i="61"/>
  <c r="J5" i="61"/>
  <c r="I5" i="61"/>
  <c r="H5" i="61"/>
  <c r="G5" i="61"/>
  <c r="F5" i="61"/>
  <c r="E5" i="61"/>
  <c r="D5" i="61"/>
  <c r="C5" i="61"/>
  <c r="BH4" i="61"/>
  <c r="BG4" i="61"/>
  <c r="BF4" i="61"/>
  <c r="BE4" i="61"/>
  <c r="BD4" i="61"/>
  <c r="BC4" i="61"/>
  <c r="BB4" i="61"/>
  <c r="BA4" i="61"/>
  <c r="AZ4" i="61"/>
  <c r="AY4" i="61"/>
  <c r="AX4" i="61"/>
  <c r="AW4" i="61"/>
  <c r="AV4" i="61"/>
  <c r="AU4" i="61"/>
  <c r="AT4" i="61"/>
  <c r="AS4" i="61"/>
  <c r="AR4" i="61"/>
  <c r="AQ4" i="61"/>
  <c r="AP4" i="61"/>
  <c r="AO4" i="61"/>
  <c r="AN4" i="61"/>
  <c r="AM4" i="61"/>
  <c r="AL4" i="61"/>
  <c r="AK4" i="61"/>
  <c r="AJ4" i="61"/>
  <c r="AI4" i="61"/>
  <c r="AH4" i="61"/>
  <c r="AG4" i="61"/>
  <c r="AF4" i="61"/>
  <c r="AE4" i="61"/>
  <c r="AD4" i="61"/>
  <c r="AC4" i="61"/>
  <c r="AB4" i="61"/>
  <c r="AA4" i="61"/>
  <c r="Z4" i="61"/>
  <c r="Y4" i="61"/>
  <c r="X4" i="61"/>
  <c r="W4" i="61"/>
  <c r="V4" i="61"/>
  <c r="U4" i="61"/>
  <c r="T4" i="61"/>
  <c r="S4" i="61"/>
  <c r="R4" i="61"/>
  <c r="Q4" i="61"/>
  <c r="P4" i="61"/>
  <c r="O4" i="61"/>
  <c r="N4" i="61"/>
  <c r="M4" i="61"/>
  <c r="L4" i="61"/>
  <c r="K4" i="61"/>
  <c r="J4" i="61"/>
  <c r="I4" i="61"/>
  <c r="H4" i="61"/>
  <c r="G4" i="61"/>
  <c r="F4" i="61"/>
  <c r="E4" i="61"/>
  <c r="D4" i="61"/>
  <c r="C4" i="61"/>
  <c r="E1" i="61"/>
  <c r="D1" i="61"/>
  <c r="D96" i="61" s="1"/>
  <c r="AA8" i="61" l="1"/>
  <c r="Z8" i="61"/>
  <c r="AX8" i="61"/>
  <c r="BB8" i="61"/>
  <c r="AY53" i="61"/>
  <c r="AY54" i="61" s="1"/>
  <c r="BC53" i="61"/>
  <c r="BC54" i="61" s="1"/>
  <c r="I8" i="61"/>
  <c r="Q8" i="61"/>
  <c r="Y8" i="61"/>
  <c r="AG8" i="61"/>
  <c r="AO8" i="61"/>
  <c r="AW8" i="61"/>
  <c r="BE8" i="61"/>
  <c r="G8" i="61"/>
  <c r="K8" i="61"/>
  <c r="W8" i="61"/>
  <c r="AE8" i="61"/>
  <c r="AM8" i="61"/>
  <c r="AU8" i="61"/>
  <c r="BG8" i="61"/>
  <c r="E8" i="61"/>
  <c r="M8" i="61"/>
  <c r="U8" i="61"/>
  <c r="AC8" i="61"/>
  <c r="AK8" i="61"/>
  <c r="AS8" i="61"/>
  <c r="BA8" i="61"/>
  <c r="O8" i="61"/>
  <c r="AQ8" i="61"/>
  <c r="AA56" i="61"/>
  <c r="W53" i="61"/>
  <c r="W54" i="61" s="1"/>
  <c r="AI56" i="61"/>
  <c r="AE53" i="61"/>
  <c r="AE55" i="61" s="1"/>
  <c r="AU56" i="61"/>
  <c r="AD69" i="61"/>
  <c r="O56" i="61"/>
  <c r="K68" i="61"/>
  <c r="K69" i="61" s="1"/>
  <c r="AJ53" i="61"/>
  <c r="AJ54" i="61" s="1"/>
  <c r="BD56" i="61"/>
  <c r="BC8" i="61"/>
  <c r="S53" i="61"/>
  <c r="S55" i="61" s="1"/>
  <c r="AM53" i="61"/>
  <c r="AM54" i="61" s="1"/>
  <c r="BH53" i="61"/>
  <c r="BH55" i="61" s="1"/>
  <c r="AQ56" i="61"/>
  <c r="BG56" i="61"/>
  <c r="D8" i="61"/>
  <c r="P8" i="61"/>
  <c r="X8" i="61"/>
  <c r="AJ8" i="61"/>
  <c r="AR8" i="61"/>
  <c r="BD8" i="61"/>
  <c r="R8" i="61"/>
  <c r="BF8" i="61"/>
  <c r="H8" i="61"/>
  <c r="L8" i="61"/>
  <c r="T8" i="61"/>
  <c r="AB8" i="61"/>
  <c r="AF8" i="61"/>
  <c r="AN8" i="61"/>
  <c r="AV8" i="61"/>
  <c r="AZ8" i="61"/>
  <c r="BH8" i="61"/>
  <c r="AH8" i="61"/>
  <c r="AO55" i="61"/>
  <c r="AF56" i="61"/>
  <c r="C99" i="61"/>
  <c r="C100" i="61" s="1"/>
  <c r="G68" i="61"/>
  <c r="G69" i="61" s="1"/>
  <c r="M53" i="61"/>
  <c r="M54" i="61" s="1"/>
  <c r="U53" i="61"/>
  <c r="U54" i="61" s="1"/>
  <c r="U56" i="61"/>
  <c r="Y56" i="61"/>
  <c r="Y53" i="61"/>
  <c r="Y54" i="61" s="1"/>
  <c r="AC53" i="61"/>
  <c r="AC54" i="61" s="1"/>
  <c r="AC56" i="61"/>
  <c r="BA53" i="61"/>
  <c r="BA54" i="61" s="1"/>
  <c r="AS53" i="61"/>
  <c r="AS54" i="61" s="1"/>
  <c r="M56" i="61"/>
  <c r="AO56" i="61"/>
  <c r="F8" i="61"/>
  <c r="J8" i="61"/>
  <c r="N8" i="61"/>
  <c r="V8" i="61"/>
  <c r="AD8" i="61"/>
  <c r="AL8" i="61"/>
  <c r="AP8" i="61"/>
  <c r="AT8" i="61"/>
  <c r="BE53" i="61"/>
  <c r="BE54" i="61" s="1"/>
  <c r="AU54" i="61"/>
  <c r="AI55" i="61"/>
  <c r="AB56" i="61"/>
  <c r="BA56" i="61"/>
  <c r="V68" i="61"/>
  <c r="V69" i="61" s="1"/>
  <c r="BB68" i="61"/>
  <c r="BB69" i="61" s="1"/>
  <c r="BG69" i="61"/>
  <c r="C74" i="61"/>
  <c r="C76" i="61" s="1"/>
  <c r="H55" i="61"/>
  <c r="AF55" i="61"/>
  <c r="AN56" i="61"/>
  <c r="AN53" i="61"/>
  <c r="AN54" i="61" s="1"/>
  <c r="AR53" i="61"/>
  <c r="AR54" i="61" s="1"/>
  <c r="AR56" i="61"/>
  <c r="AV53" i="61"/>
  <c r="AV54" i="61" s="1"/>
  <c r="P53" i="61"/>
  <c r="P54" i="61" s="1"/>
  <c r="X53" i="61"/>
  <c r="X54" i="61" s="1"/>
  <c r="AZ53" i="61"/>
  <c r="AZ54" i="61" s="1"/>
  <c r="T56" i="61"/>
  <c r="AV56" i="61"/>
  <c r="AQ68" i="61"/>
  <c r="AQ69" i="61" s="1"/>
  <c r="AI69" i="61"/>
  <c r="H42" i="61"/>
  <c r="I42" i="61" s="1"/>
  <c r="G43" i="61"/>
  <c r="L68" i="61"/>
  <c r="L69" i="61" s="1"/>
  <c r="P68" i="61"/>
  <c r="P69" i="61" s="1"/>
  <c r="T68" i="61"/>
  <c r="T69" i="61" s="1"/>
  <c r="AZ68" i="61"/>
  <c r="AZ69" i="61" s="1"/>
  <c r="BH68" i="61"/>
  <c r="BH69" i="61" s="1"/>
  <c r="S32" i="61"/>
  <c r="T32" i="61" s="1"/>
  <c r="U32" i="61" s="1"/>
  <c r="V32" i="61" s="1"/>
  <c r="W32" i="61" s="1"/>
  <c r="X32" i="61" s="1"/>
  <c r="Y32" i="61" s="1"/>
  <c r="Z32" i="61" s="1"/>
  <c r="AA32" i="61" s="1"/>
  <c r="AB32" i="61" s="1"/>
  <c r="U23" i="61"/>
  <c r="BG54" i="61"/>
  <c r="BG55" i="61"/>
  <c r="AB54" i="61"/>
  <c r="AB55" i="61"/>
  <c r="BD54" i="61"/>
  <c r="BD55" i="61"/>
  <c r="T55" i="61"/>
  <c r="D58" i="61"/>
  <c r="D68" i="61"/>
  <c r="D69" i="61" s="1"/>
  <c r="AB68" i="61"/>
  <c r="AB69" i="61" s="1"/>
  <c r="AJ68" i="61"/>
  <c r="AJ69" i="61" s="1"/>
  <c r="AR69" i="61"/>
  <c r="AK23" i="61"/>
  <c r="AF39" i="61"/>
  <c r="AE35" i="61"/>
  <c r="H39" i="61"/>
  <c r="T39" i="61"/>
  <c r="H45" i="61"/>
  <c r="AE54" i="61"/>
  <c r="J68" i="61"/>
  <c r="J69" i="61" s="1"/>
  <c r="C79" i="61"/>
  <c r="H20" i="61"/>
  <c r="F20" i="61"/>
  <c r="G23" i="61"/>
  <c r="V20" i="61"/>
  <c r="W29" i="61"/>
  <c r="W23" i="61"/>
  <c r="C23" i="61"/>
  <c r="Q23" i="61"/>
  <c r="Y23" i="61"/>
  <c r="AE23" i="61"/>
  <c r="AC29" i="61"/>
  <c r="E39" i="61"/>
  <c r="D35" i="61"/>
  <c r="U39" i="61"/>
  <c r="T35" i="61"/>
  <c r="AK39" i="61"/>
  <c r="AJ35" i="61"/>
  <c r="E43" i="61"/>
  <c r="J39" i="61"/>
  <c r="AB39" i="61"/>
  <c r="H43" i="61"/>
  <c r="AD45" i="61"/>
  <c r="D55" i="61"/>
  <c r="O55" i="61"/>
  <c r="N68" i="61"/>
  <c r="N69" i="61" s="1"/>
  <c r="R68" i="61"/>
  <c r="R69" i="61" s="1"/>
  <c r="AL68" i="61"/>
  <c r="AL69" i="61" s="1"/>
  <c r="AP68" i="61"/>
  <c r="AP69" i="61" s="1"/>
  <c r="AT68" i="61"/>
  <c r="AT69" i="61" s="1"/>
  <c r="BF68" i="61"/>
  <c r="BF69" i="61" s="1"/>
  <c r="AE68" i="61"/>
  <c r="AE69" i="61" s="1"/>
  <c r="AU68" i="61"/>
  <c r="AU69" i="61" s="1"/>
  <c r="AM69" i="61"/>
  <c r="M29" i="61"/>
  <c r="K54" i="61"/>
  <c r="K55" i="61"/>
  <c r="AA54" i="61"/>
  <c r="AA55" i="61"/>
  <c r="AQ55" i="61"/>
  <c r="F57" i="61"/>
  <c r="E58" i="61"/>
  <c r="H69" i="61"/>
  <c r="AF69" i="61"/>
  <c r="AV68" i="61"/>
  <c r="AV69" i="61" s="1"/>
  <c r="BD68" i="61"/>
  <c r="BD69" i="61" s="1"/>
  <c r="Z69" i="61"/>
  <c r="BC68" i="61"/>
  <c r="BC69" i="61" s="1"/>
  <c r="L20" i="61"/>
  <c r="X20" i="61"/>
  <c r="U29" i="61"/>
  <c r="P39" i="61"/>
  <c r="O35" i="61"/>
  <c r="X45" i="61"/>
  <c r="AF45" i="61"/>
  <c r="AN68" i="61"/>
  <c r="AN69" i="61" s="1"/>
  <c r="F1" i="61"/>
  <c r="E96" i="61"/>
  <c r="C8" i="61"/>
  <c r="S8" i="61"/>
  <c r="AI8" i="61"/>
  <c r="AY8" i="61"/>
  <c r="AF20" i="61"/>
  <c r="E23" i="61"/>
  <c r="AG23" i="61"/>
  <c r="AK29" i="61"/>
  <c r="E35" i="61"/>
  <c r="F39" i="61"/>
  <c r="U35" i="61"/>
  <c r="V39" i="61"/>
  <c r="AK35" i="61"/>
  <c r="AL39" i="61"/>
  <c r="F43" i="61"/>
  <c r="R39" i="61"/>
  <c r="AD39" i="61"/>
  <c r="F53" i="61"/>
  <c r="F54" i="61" s="1"/>
  <c r="J53" i="61"/>
  <c r="J54" i="61" s="1"/>
  <c r="N56" i="61"/>
  <c r="N53" i="61"/>
  <c r="N54" i="61" s="1"/>
  <c r="R56" i="61"/>
  <c r="R53" i="61"/>
  <c r="R54" i="61" s="1"/>
  <c r="V56" i="61"/>
  <c r="V53" i="61"/>
  <c r="V54" i="61" s="1"/>
  <c r="Z56" i="61"/>
  <c r="Z53" i="61"/>
  <c r="Z54" i="61" s="1"/>
  <c r="AD56" i="61"/>
  <c r="AD53" i="61"/>
  <c r="AD54" i="61" s="1"/>
  <c r="AH56" i="61"/>
  <c r="AH53" i="61"/>
  <c r="AH54" i="61" s="1"/>
  <c r="AL56" i="61"/>
  <c r="AL53" i="61"/>
  <c r="AL54" i="61" s="1"/>
  <c r="AP56" i="61"/>
  <c r="AP53" i="61"/>
  <c r="AP54" i="61" s="1"/>
  <c r="AT56" i="61"/>
  <c r="AT53" i="61"/>
  <c r="AT54" i="61" s="1"/>
  <c r="AX56" i="61"/>
  <c r="AX53" i="61"/>
  <c r="AX54" i="61" s="1"/>
  <c r="BB56" i="61"/>
  <c r="BB53" i="61"/>
  <c r="BB54" i="61" s="1"/>
  <c r="BF56" i="61"/>
  <c r="BF53" i="61"/>
  <c r="BF54" i="61" s="1"/>
  <c r="F68" i="61"/>
  <c r="F69" i="61" s="1"/>
  <c r="AH68" i="61"/>
  <c r="AH69" i="61" s="1"/>
  <c r="X69" i="61"/>
  <c r="L54" i="61"/>
  <c r="L55" i="61"/>
  <c r="S68" i="61"/>
  <c r="S69" i="61" s="1"/>
  <c r="AA68" i="61"/>
  <c r="AA69" i="61" s="1"/>
  <c r="C69" i="61"/>
  <c r="W69" i="61"/>
  <c r="AY69" i="61"/>
  <c r="E53" i="61"/>
  <c r="Q56" i="61"/>
  <c r="Q55" i="61"/>
  <c r="AG56" i="61"/>
  <c r="AG55" i="61"/>
  <c r="AW56" i="61"/>
  <c r="AW55" i="61"/>
  <c r="I53" i="61"/>
  <c r="I54" i="61" s="1"/>
  <c r="C54" i="61"/>
  <c r="AK55" i="61"/>
  <c r="AK56" i="61"/>
  <c r="E69" i="61"/>
  <c r="I68" i="61"/>
  <c r="I69" i="61" s="1"/>
  <c r="Q69" i="61"/>
  <c r="Y68" i="61"/>
  <c r="Y69" i="61" s="1"/>
  <c r="AC69" i="61"/>
  <c r="AG69" i="61"/>
  <c r="AK69" i="61"/>
  <c r="AO68" i="61"/>
  <c r="AO69" i="61" s="1"/>
  <c r="AS69" i="61"/>
  <c r="BA69" i="61"/>
  <c r="BE68" i="61"/>
  <c r="BE69" i="61" s="1"/>
  <c r="O68" i="61"/>
  <c r="O69" i="61" s="1"/>
  <c r="M68" i="61"/>
  <c r="M69" i="61" s="1"/>
  <c r="U68" i="61"/>
  <c r="U69" i="61" s="1"/>
  <c r="AW68" i="61"/>
  <c r="AW69" i="61" s="1"/>
  <c r="R23" i="61"/>
  <c r="AH23" i="61"/>
  <c r="C158" i="61"/>
  <c r="G55" i="61"/>
  <c r="W55" i="61"/>
  <c r="C120" i="61"/>
  <c r="C125" i="61" s="1"/>
  <c r="C132" i="61" s="1"/>
  <c r="B41" i="53"/>
  <c r="BH54" i="61" l="1"/>
  <c r="AY55" i="61"/>
  <c r="AJ55" i="61"/>
  <c r="AZ55" i="61"/>
  <c r="AR55" i="61"/>
  <c r="BC55" i="61"/>
  <c r="AM55" i="61"/>
  <c r="X55" i="61"/>
  <c r="Z55" i="61"/>
  <c r="C105" i="61"/>
  <c r="C106" i="61" s="1"/>
  <c r="C107" i="61" s="1"/>
  <c r="F55" i="61"/>
  <c r="Y55" i="61"/>
  <c r="S54" i="61"/>
  <c r="P55" i="61"/>
  <c r="BF55" i="61"/>
  <c r="AX55" i="61"/>
  <c r="AP55" i="61"/>
  <c r="J55" i="61"/>
  <c r="C77" i="61"/>
  <c r="AH55" i="61"/>
  <c r="AN55" i="61"/>
  <c r="AS55" i="61"/>
  <c r="BE55" i="61"/>
  <c r="U55" i="61"/>
  <c r="AC55" i="61"/>
  <c r="M55" i="61"/>
  <c r="R55" i="61"/>
  <c r="AV55" i="61"/>
  <c r="BA55" i="61"/>
  <c r="E55" i="61"/>
  <c r="E54" i="61"/>
  <c r="C109" i="61"/>
  <c r="C126" i="61"/>
  <c r="C122" i="61"/>
  <c r="AT55" i="61"/>
  <c r="AD55" i="61"/>
  <c r="N55" i="61"/>
  <c r="F96" i="61"/>
  <c r="G1" i="61"/>
  <c r="F58" i="61"/>
  <c r="G57" i="61"/>
  <c r="AC32" i="61"/>
  <c r="J42" i="61"/>
  <c r="I43" i="61"/>
  <c r="I55" i="61"/>
  <c r="BB55" i="61"/>
  <c r="AL55" i="61"/>
  <c r="V55" i="61"/>
  <c r="B40" i="53"/>
  <c r="K42" i="61" l="1"/>
  <c r="J43" i="61"/>
  <c r="H1" i="61"/>
  <c r="G96" i="61"/>
  <c r="C111" i="61"/>
  <c r="D110" i="61"/>
  <c r="AD32" i="61"/>
  <c r="G58" i="61"/>
  <c r="H57" i="61"/>
  <c r="H96" i="61" l="1"/>
  <c r="I1" i="61"/>
  <c r="I57" i="61"/>
  <c r="H58" i="61"/>
  <c r="AE32" i="61"/>
  <c r="D129" i="61"/>
  <c r="D114" i="61"/>
  <c r="D115" i="61" s="1"/>
  <c r="D113" i="61"/>
  <c r="D117" i="61" s="1"/>
  <c r="D112" i="61"/>
  <c r="D118" i="61"/>
  <c r="D119" i="61"/>
  <c r="L42" i="61"/>
  <c r="K43" i="61"/>
  <c r="BH150" i="60"/>
  <c r="BH146" i="60"/>
  <c r="BH145" i="60"/>
  <c r="BH125" i="60"/>
  <c r="BH110" i="60"/>
  <c r="BH102" i="60"/>
  <c r="BH86" i="60"/>
  <c r="BH82" i="60"/>
  <c r="BH70" i="60"/>
  <c r="BH67" i="60"/>
  <c r="BH61" i="60"/>
  <c r="BH60" i="60"/>
  <c r="BH62" i="60" s="1"/>
  <c r="BH59" i="60"/>
  <c r="BH58" i="60"/>
  <c r="BH40" i="60"/>
  <c r="BH34" i="60"/>
  <c r="BH30" i="60"/>
  <c r="BH18" i="60"/>
  <c r="BH15" i="60"/>
  <c r="BH12" i="60"/>
  <c r="BH11" i="60"/>
  <c r="BH4" i="60"/>
  <c r="BH3" i="60"/>
  <c r="BG150" i="60"/>
  <c r="BF150" i="60"/>
  <c r="BE150" i="60"/>
  <c r="BD150" i="60"/>
  <c r="BC150" i="60"/>
  <c r="BB150" i="60"/>
  <c r="BG146" i="60"/>
  <c r="BF146" i="60"/>
  <c r="BE146" i="60"/>
  <c r="BD146" i="60"/>
  <c r="BC146" i="60"/>
  <c r="BB146" i="60"/>
  <c r="BG145" i="60"/>
  <c r="BF145" i="60"/>
  <c r="BE145" i="60"/>
  <c r="BD145" i="60"/>
  <c r="BC145" i="60"/>
  <c r="BB145" i="60"/>
  <c r="BG125" i="60"/>
  <c r="BF125" i="60"/>
  <c r="BE125" i="60"/>
  <c r="BD125" i="60"/>
  <c r="BC125" i="60"/>
  <c r="BB125" i="60"/>
  <c r="BG110" i="60"/>
  <c r="BF110" i="60"/>
  <c r="BE110" i="60"/>
  <c r="BD110" i="60"/>
  <c r="BC110" i="60"/>
  <c r="BB110" i="60"/>
  <c r="BG102" i="60"/>
  <c r="BF102" i="60"/>
  <c r="BE102" i="60"/>
  <c r="BD102" i="60"/>
  <c r="BC102" i="60"/>
  <c r="BB102" i="60"/>
  <c r="BG86" i="60"/>
  <c r="BF86" i="60"/>
  <c r="BE86" i="60"/>
  <c r="BD86" i="60"/>
  <c r="BC86" i="60"/>
  <c r="BB86" i="60"/>
  <c r="BG82" i="60"/>
  <c r="BF82" i="60"/>
  <c r="BE82" i="60"/>
  <c r="BD82" i="60"/>
  <c r="BC82" i="60"/>
  <c r="BB82" i="60"/>
  <c r="BG70" i="60"/>
  <c r="BF70" i="60"/>
  <c r="BE70" i="60"/>
  <c r="BD70" i="60"/>
  <c r="BC70" i="60"/>
  <c r="BB70" i="60"/>
  <c r="BG67" i="60"/>
  <c r="BF67" i="60"/>
  <c r="BE67" i="60"/>
  <c r="BD67" i="60"/>
  <c r="BC67" i="60"/>
  <c r="BB67" i="60"/>
  <c r="BG61" i="60"/>
  <c r="BF61" i="60"/>
  <c r="BE61" i="60"/>
  <c r="BD61" i="60"/>
  <c r="BC61" i="60"/>
  <c r="BB61" i="60"/>
  <c r="BG60" i="60"/>
  <c r="BG62" i="60" s="1"/>
  <c r="BF60" i="60"/>
  <c r="BF62" i="60" s="1"/>
  <c r="BE60" i="60"/>
  <c r="BE62" i="60" s="1"/>
  <c r="BD60" i="60"/>
  <c r="BD62" i="60" s="1"/>
  <c r="BC60" i="60"/>
  <c r="BC62" i="60" s="1"/>
  <c r="BB60" i="60"/>
  <c r="BB62" i="60" s="1"/>
  <c r="BB63" i="60" s="1"/>
  <c r="BG59" i="60"/>
  <c r="BF59" i="60"/>
  <c r="BE59" i="60"/>
  <c r="BD59" i="60"/>
  <c r="BC59" i="60"/>
  <c r="BB59" i="60"/>
  <c r="BG58" i="60"/>
  <c r="BF58" i="60"/>
  <c r="BE58" i="60"/>
  <c r="BD58" i="60"/>
  <c r="BC58" i="60"/>
  <c r="BB58" i="60"/>
  <c r="BG40" i="60"/>
  <c r="BF40" i="60"/>
  <c r="BE40" i="60"/>
  <c r="BD40" i="60"/>
  <c r="BC40" i="60"/>
  <c r="BB40" i="60"/>
  <c r="BG34" i="60"/>
  <c r="BF34" i="60"/>
  <c r="BE34" i="60"/>
  <c r="BD34" i="60"/>
  <c r="BC34" i="60"/>
  <c r="BB34" i="60"/>
  <c r="BG30" i="60"/>
  <c r="BF30" i="60"/>
  <c r="BE30" i="60"/>
  <c r="BD30" i="60"/>
  <c r="BC30" i="60"/>
  <c r="BB30" i="60"/>
  <c r="BG18" i="60"/>
  <c r="BF18" i="60"/>
  <c r="BE18" i="60"/>
  <c r="BD18" i="60"/>
  <c r="BC18" i="60"/>
  <c r="BB18" i="60"/>
  <c r="BG15" i="60"/>
  <c r="BF15" i="60"/>
  <c r="BE15" i="60"/>
  <c r="BD15" i="60"/>
  <c r="BC15" i="60"/>
  <c r="BB15" i="60"/>
  <c r="BG12" i="60"/>
  <c r="BF12" i="60"/>
  <c r="BE12" i="60"/>
  <c r="BD12" i="60"/>
  <c r="BC12" i="60"/>
  <c r="BB12" i="60"/>
  <c r="BG11" i="60"/>
  <c r="BF11" i="60"/>
  <c r="BE11" i="60"/>
  <c r="BD11" i="60"/>
  <c r="BC11" i="60"/>
  <c r="BB11" i="60"/>
  <c r="BG4" i="60"/>
  <c r="BF4" i="60"/>
  <c r="BE4" i="60"/>
  <c r="BD4" i="60"/>
  <c r="BC4" i="60"/>
  <c r="BB4" i="60"/>
  <c r="BG3" i="60"/>
  <c r="BF3" i="60"/>
  <c r="BE3" i="60"/>
  <c r="BD3" i="60"/>
  <c r="BC3" i="60"/>
  <c r="BB3" i="60"/>
  <c r="BA150" i="60"/>
  <c r="AZ150" i="60"/>
  <c r="AY150" i="60"/>
  <c r="AX150" i="60"/>
  <c r="AW150" i="60"/>
  <c r="AV150" i="60"/>
  <c r="BA146" i="60"/>
  <c r="AZ146" i="60"/>
  <c r="AY146" i="60"/>
  <c r="AX146" i="60"/>
  <c r="AW146" i="60"/>
  <c r="AV146" i="60"/>
  <c r="BA145" i="60"/>
  <c r="AZ145" i="60"/>
  <c r="AY145" i="60"/>
  <c r="AX145" i="60"/>
  <c r="AW145" i="60"/>
  <c r="AV145" i="60"/>
  <c r="BA125" i="60"/>
  <c r="AZ125" i="60"/>
  <c r="AY125" i="60"/>
  <c r="AX125" i="60"/>
  <c r="AW125" i="60"/>
  <c r="AV125" i="60"/>
  <c r="BA110" i="60"/>
  <c r="AZ110" i="60"/>
  <c r="AY110" i="60"/>
  <c r="AX110" i="60"/>
  <c r="AW110" i="60"/>
  <c r="AV110" i="60"/>
  <c r="BA102" i="60"/>
  <c r="AZ102" i="60"/>
  <c r="AY102" i="60"/>
  <c r="AX102" i="60"/>
  <c r="AW102" i="60"/>
  <c r="AV102" i="60"/>
  <c r="BA86" i="60"/>
  <c r="AZ86" i="60"/>
  <c r="AY86" i="60"/>
  <c r="AX86" i="60"/>
  <c r="AW86" i="60"/>
  <c r="AV86" i="60"/>
  <c r="BA82" i="60"/>
  <c r="AZ82" i="60"/>
  <c r="AY82" i="60"/>
  <c r="AX82" i="60"/>
  <c r="AW82" i="60"/>
  <c r="AV82" i="60"/>
  <c r="BA70" i="60"/>
  <c r="AZ70" i="60"/>
  <c r="AY70" i="60"/>
  <c r="AX70" i="60"/>
  <c r="AW70" i="60"/>
  <c r="AV70" i="60"/>
  <c r="BA67" i="60"/>
  <c r="AZ67" i="60"/>
  <c r="AY67" i="60"/>
  <c r="AX67" i="60"/>
  <c r="AW67" i="60"/>
  <c r="AV67" i="60"/>
  <c r="BA61" i="60"/>
  <c r="AZ61" i="60"/>
  <c r="AY61" i="60"/>
  <c r="AX61" i="60"/>
  <c r="AW61" i="60"/>
  <c r="AV61" i="60"/>
  <c r="BA60" i="60"/>
  <c r="BA62" i="60" s="1"/>
  <c r="AZ60" i="60"/>
  <c r="AZ62" i="60" s="1"/>
  <c r="AY60" i="60"/>
  <c r="AY62" i="60" s="1"/>
  <c r="AY63" i="60" s="1"/>
  <c r="AX60" i="60"/>
  <c r="AX62" i="60" s="1"/>
  <c r="AX63" i="60" s="1"/>
  <c r="AW60" i="60"/>
  <c r="AW62" i="60" s="1"/>
  <c r="AW63" i="60" s="1"/>
  <c r="AV60" i="60"/>
  <c r="AV62" i="60" s="1"/>
  <c r="BA59" i="60"/>
  <c r="AZ59" i="60"/>
  <c r="AY59" i="60"/>
  <c r="AX59" i="60"/>
  <c r="AW59" i="60"/>
  <c r="AV59" i="60"/>
  <c r="BA58" i="60"/>
  <c r="AZ58" i="60"/>
  <c r="AY58" i="60"/>
  <c r="AX58" i="60"/>
  <c r="AW58" i="60"/>
  <c r="AV58" i="60"/>
  <c r="BA40" i="60"/>
  <c r="AZ40" i="60"/>
  <c r="AY40" i="60"/>
  <c r="AX40" i="60"/>
  <c r="AW40" i="60"/>
  <c r="AV40" i="60"/>
  <c r="BA34" i="60"/>
  <c r="AZ34" i="60"/>
  <c r="AY34" i="60"/>
  <c r="AX34" i="60"/>
  <c r="AW34" i="60"/>
  <c r="AV34" i="60"/>
  <c r="BA30" i="60"/>
  <c r="AZ30" i="60"/>
  <c r="AY30" i="60"/>
  <c r="AX30" i="60"/>
  <c r="AW30" i="60"/>
  <c r="AV30" i="60"/>
  <c r="BA18" i="60"/>
  <c r="AZ18" i="60"/>
  <c r="AY18" i="60"/>
  <c r="AX18" i="60"/>
  <c r="AW18" i="60"/>
  <c r="AV18" i="60"/>
  <c r="BA15" i="60"/>
  <c r="AZ15" i="60"/>
  <c r="AY15" i="60"/>
  <c r="AX15" i="60"/>
  <c r="AW15" i="60"/>
  <c r="AV15" i="60"/>
  <c r="BA12" i="60"/>
  <c r="AZ12" i="60"/>
  <c r="AY12" i="60"/>
  <c r="AX12" i="60"/>
  <c r="AW12" i="60"/>
  <c r="AV12" i="60"/>
  <c r="BA11" i="60"/>
  <c r="AZ11" i="60"/>
  <c r="AY11" i="60"/>
  <c r="AX11" i="60"/>
  <c r="AW11" i="60"/>
  <c r="AV11" i="60"/>
  <c r="BA4" i="60"/>
  <c r="AZ4" i="60"/>
  <c r="AY4" i="60"/>
  <c r="AX4" i="60"/>
  <c r="AW4" i="60"/>
  <c r="AV4" i="60"/>
  <c r="BA3" i="60"/>
  <c r="AZ3" i="60"/>
  <c r="AY3" i="60"/>
  <c r="AX3" i="60"/>
  <c r="AW3" i="60"/>
  <c r="AV3" i="60"/>
  <c r="AU150" i="60"/>
  <c r="AT150" i="60"/>
  <c r="AS150" i="60"/>
  <c r="AU146" i="60"/>
  <c r="AT146" i="60"/>
  <c r="AS146" i="60"/>
  <c r="AU145" i="60"/>
  <c r="AT145" i="60"/>
  <c r="AS145" i="60"/>
  <c r="AU125" i="60"/>
  <c r="AT125" i="60"/>
  <c r="AS125" i="60"/>
  <c r="AU110" i="60"/>
  <c r="AT110" i="60"/>
  <c r="AS110" i="60"/>
  <c r="AU102" i="60"/>
  <c r="AT102" i="60"/>
  <c r="AS102" i="60"/>
  <c r="AU86" i="60"/>
  <c r="AT86" i="60"/>
  <c r="AS86" i="60"/>
  <c r="AU82" i="60"/>
  <c r="AT82" i="60"/>
  <c r="AS82" i="60"/>
  <c r="AU70" i="60"/>
  <c r="AT70" i="60"/>
  <c r="AS70" i="60"/>
  <c r="AU67" i="60"/>
  <c r="AT67" i="60"/>
  <c r="AS67" i="60"/>
  <c r="AU61" i="60"/>
  <c r="AT61" i="60"/>
  <c r="AS61" i="60"/>
  <c r="AU60" i="60"/>
  <c r="AU62" i="60" s="1"/>
  <c r="AT60" i="60"/>
  <c r="AT62" i="60" s="1"/>
  <c r="AS60" i="60"/>
  <c r="AS62" i="60" s="1"/>
  <c r="AS63" i="60" s="1"/>
  <c r="AU59" i="60"/>
  <c r="AT59" i="60"/>
  <c r="AS59" i="60"/>
  <c r="AU58" i="60"/>
  <c r="AT58" i="60"/>
  <c r="AS58" i="60"/>
  <c r="AU40" i="60"/>
  <c r="AT40" i="60"/>
  <c r="AS40" i="60"/>
  <c r="AU34" i="60"/>
  <c r="AT34" i="60"/>
  <c r="AS34" i="60"/>
  <c r="AU30" i="60"/>
  <c r="AT30" i="60"/>
  <c r="AS30" i="60"/>
  <c r="AU18" i="60"/>
  <c r="AT18" i="60"/>
  <c r="AS18" i="60"/>
  <c r="AU15" i="60"/>
  <c r="AT15" i="60"/>
  <c r="AS15" i="60"/>
  <c r="AU12" i="60"/>
  <c r="AT12" i="60"/>
  <c r="AS12" i="60"/>
  <c r="AU11" i="60"/>
  <c r="AT11" i="60"/>
  <c r="AS11" i="60"/>
  <c r="AU4" i="60"/>
  <c r="AT4" i="60"/>
  <c r="AS4" i="60"/>
  <c r="AU3" i="60"/>
  <c r="AT3" i="60"/>
  <c r="AS3" i="60"/>
  <c r="AR150" i="60"/>
  <c r="AQ150" i="60"/>
  <c r="AP150" i="60"/>
  <c r="AR146" i="60"/>
  <c r="AQ146" i="60"/>
  <c r="AP146" i="60"/>
  <c r="AR145" i="60"/>
  <c r="AQ145" i="60"/>
  <c r="AP145" i="60"/>
  <c r="AR125" i="60"/>
  <c r="AQ125" i="60"/>
  <c r="AP125" i="60"/>
  <c r="AR110" i="60"/>
  <c r="AQ110" i="60"/>
  <c r="AP110" i="60"/>
  <c r="AR102" i="60"/>
  <c r="AQ102" i="60"/>
  <c r="AP102" i="60"/>
  <c r="AR86" i="60"/>
  <c r="AQ86" i="60"/>
  <c r="AP86" i="60"/>
  <c r="AR82" i="60"/>
  <c r="AQ82" i="60"/>
  <c r="AP82" i="60"/>
  <c r="AR70" i="60"/>
  <c r="AQ70" i="60"/>
  <c r="AP70" i="60"/>
  <c r="AR67" i="60"/>
  <c r="AQ67" i="60"/>
  <c r="AP67" i="60"/>
  <c r="AR61" i="60"/>
  <c r="AQ61" i="60"/>
  <c r="AP61" i="60"/>
  <c r="AR60" i="60"/>
  <c r="AR62" i="60" s="1"/>
  <c r="AR63" i="60" s="1"/>
  <c r="AQ60" i="60"/>
  <c r="AQ62" i="60" s="1"/>
  <c r="AP60" i="60"/>
  <c r="AP62" i="60" s="1"/>
  <c r="AR59" i="60"/>
  <c r="AQ59" i="60"/>
  <c r="AP59" i="60"/>
  <c r="AR58" i="60"/>
  <c r="AQ58" i="60"/>
  <c r="AP58" i="60"/>
  <c r="AR40" i="60"/>
  <c r="AQ40" i="60"/>
  <c r="AP40" i="60"/>
  <c r="AR34" i="60"/>
  <c r="AQ34" i="60"/>
  <c r="AP34" i="60"/>
  <c r="AR30" i="60"/>
  <c r="AQ30" i="60"/>
  <c r="AP30" i="60"/>
  <c r="AR18" i="60"/>
  <c r="AQ18" i="60"/>
  <c r="AP18" i="60"/>
  <c r="AR15" i="60"/>
  <c r="AQ15" i="60"/>
  <c r="AP15" i="60"/>
  <c r="AR12" i="60"/>
  <c r="AQ12" i="60"/>
  <c r="AP12" i="60"/>
  <c r="AR11" i="60"/>
  <c r="AQ11" i="60"/>
  <c r="AP11" i="60"/>
  <c r="AR4" i="60"/>
  <c r="AQ4" i="60"/>
  <c r="AP4" i="60"/>
  <c r="AR3" i="60"/>
  <c r="AQ3" i="60"/>
  <c r="AP3" i="60"/>
  <c r="AO150" i="60"/>
  <c r="AO146" i="60"/>
  <c r="AO145" i="60"/>
  <c r="AO125" i="60"/>
  <c r="AO110" i="60"/>
  <c r="AO102" i="60"/>
  <c r="AO86" i="60"/>
  <c r="AO82" i="60"/>
  <c r="AO70" i="60"/>
  <c r="AO67" i="60"/>
  <c r="AO61" i="60"/>
  <c r="AO60" i="60"/>
  <c r="AO62" i="60" s="1"/>
  <c r="AO59" i="60"/>
  <c r="AO58" i="60"/>
  <c r="AO40" i="60"/>
  <c r="AO34" i="60"/>
  <c r="AO30" i="60"/>
  <c r="AO18" i="60"/>
  <c r="AO15" i="60"/>
  <c r="AO12" i="60"/>
  <c r="AO11" i="60"/>
  <c r="AO4" i="60"/>
  <c r="AO3" i="60"/>
  <c r="AN150" i="60"/>
  <c r="AN146" i="60"/>
  <c r="AN145" i="60"/>
  <c r="AN125" i="60"/>
  <c r="AN110" i="60"/>
  <c r="AN102" i="60"/>
  <c r="AN86" i="60"/>
  <c r="AN82" i="60"/>
  <c r="AN70" i="60"/>
  <c r="AN67" i="60"/>
  <c r="AN61" i="60"/>
  <c r="AN60" i="60"/>
  <c r="AN62" i="60" s="1"/>
  <c r="AN59" i="60"/>
  <c r="AN58" i="60"/>
  <c r="AN40" i="60"/>
  <c r="AN34" i="60"/>
  <c r="AN30" i="60"/>
  <c r="AN18" i="60"/>
  <c r="AN15" i="60"/>
  <c r="AN12" i="60"/>
  <c r="AN11" i="60"/>
  <c r="AN4" i="60"/>
  <c r="AN3" i="60"/>
  <c r="M42" i="61" l="1"/>
  <c r="L43" i="61"/>
  <c r="D123" i="61"/>
  <c r="D128" i="61" s="1"/>
  <c r="D74" i="61"/>
  <c r="D120" i="61"/>
  <c r="I58" i="61"/>
  <c r="J57" i="61"/>
  <c r="I96" i="61"/>
  <c r="J1" i="61"/>
  <c r="AF32" i="61"/>
  <c r="BE7" i="60"/>
  <c r="BH7" i="60"/>
  <c r="BB7" i="60"/>
  <c r="BF7" i="60"/>
  <c r="AS7" i="60"/>
  <c r="AY7" i="60"/>
  <c r="BH63" i="60"/>
  <c r="BH64" i="60" s="1"/>
  <c r="AV7" i="60"/>
  <c r="AZ7" i="60"/>
  <c r="BD7" i="60"/>
  <c r="BD63" i="60"/>
  <c r="BD64" i="60" s="1"/>
  <c r="BF63" i="60"/>
  <c r="BF64" i="60" s="1"/>
  <c r="BB64" i="60"/>
  <c r="BC7" i="60"/>
  <c r="BG7" i="60"/>
  <c r="BG63" i="60"/>
  <c r="BG64" i="60" s="1"/>
  <c r="BE63" i="60"/>
  <c r="BE64" i="60" s="1"/>
  <c r="BC63" i="60"/>
  <c r="BC64" i="60" s="1"/>
  <c r="AX7" i="60"/>
  <c r="BA63" i="60"/>
  <c r="BA64" i="60" s="1"/>
  <c r="AR7" i="60"/>
  <c r="AU7" i="60"/>
  <c r="AW64" i="60"/>
  <c r="AZ63" i="60"/>
  <c r="AZ64" i="60" s="1"/>
  <c r="AN7" i="60"/>
  <c r="AO7" i="60"/>
  <c r="AW7" i="60"/>
  <c r="BA7" i="60"/>
  <c r="AY64" i="60"/>
  <c r="AV63" i="60"/>
  <c r="AV64" i="60" s="1"/>
  <c r="AX64" i="60"/>
  <c r="AP7" i="60"/>
  <c r="AS64" i="60"/>
  <c r="AT7" i="60"/>
  <c r="AU63" i="60"/>
  <c r="AU64" i="60" s="1"/>
  <c r="AT63" i="60"/>
  <c r="AT64" i="60" s="1"/>
  <c r="AQ63" i="60"/>
  <c r="AQ64" i="60" s="1"/>
  <c r="AP63" i="60"/>
  <c r="AP64" i="60" s="1"/>
  <c r="AQ7" i="60"/>
  <c r="AR64" i="60"/>
  <c r="AO63" i="60"/>
  <c r="AO64" i="60" s="1"/>
  <c r="AN63" i="60"/>
  <c r="AN64" i="60" s="1"/>
  <c r="AM12" i="60"/>
  <c r="AL12" i="60"/>
  <c r="AK12" i="60"/>
  <c r="AJ12" i="60"/>
  <c r="AI12" i="60"/>
  <c r="AH12" i="60"/>
  <c r="AG12" i="60"/>
  <c r="AF12" i="60"/>
  <c r="AE12" i="60"/>
  <c r="AD12" i="60"/>
  <c r="AC12" i="60"/>
  <c r="AB12" i="60"/>
  <c r="AA12" i="60"/>
  <c r="Z12" i="60"/>
  <c r="Y12" i="60"/>
  <c r="X12" i="60"/>
  <c r="W12" i="60"/>
  <c r="V12" i="60"/>
  <c r="U12" i="60"/>
  <c r="T12" i="60"/>
  <c r="S12" i="60"/>
  <c r="R12" i="60"/>
  <c r="Q12" i="60"/>
  <c r="P12" i="60"/>
  <c r="AM11" i="60"/>
  <c r="AL11" i="60"/>
  <c r="AK11" i="60"/>
  <c r="AJ11" i="60"/>
  <c r="AI11" i="60"/>
  <c r="AH11" i="60"/>
  <c r="AG11" i="60"/>
  <c r="AF11" i="60"/>
  <c r="AE11" i="60"/>
  <c r="AD11" i="60"/>
  <c r="AC11" i="60"/>
  <c r="AB11" i="60"/>
  <c r="AA11" i="60"/>
  <c r="Z11" i="60"/>
  <c r="Y11" i="60"/>
  <c r="X11" i="60"/>
  <c r="W11" i="60"/>
  <c r="V11" i="60"/>
  <c r="U11" i="60"/>
  <c r="T11" i="60"/>
  <c r="S11" i="60"/>
  <c r="R11" i="60"/>
  <c r="Q11" i="60"/>
  <c r="P11" i="60"/>
  <c r="N12" i="60"/>
  <c r="M12" i="60"/>
  <c r="L12" i="60"/>
  <c r="K12" i="60"/>
  <c r="J12" i="60"/>
  <c r="I12" i="60"/>
  <c r="H12" i="60"/>
  <c r="G12" i="60"/>
  <c r="F12" i="60"/>
  <c r="E12" i="60"/>
  <c r="D12" i="60"/>
  <c r="C12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O12" i="60"/>
  <c r="O11" i="60"/>
  <c r="AG32" i="61" l="1"/>
  <c r="J96" i="61"/>
  <c r="K1" i="61"/>
  <c r="D122" i="61"/>
  <c r="D126" i="61"/>
  <c r="D125" i="61"/>
  <c r="D132" i="61" s="1"/>
  <c r="M43" i="61"/>
  <c r="N42" i="61"/>
  <c r="D89" i="61"/>
  <c r="D79" i="61"/>
  <c r="D77" i="61"/>
  <c r="C73" i="61"/>
  <c r="D76" i="61"/>
  <c r="D105" i="61"/>
  <c r="D106" i="61" s="1"/>
  <c r="K57" i="61"/>
  <c r="J58" i="61"/>
  <c r="C108" i="60"/>
  <c r="K58" i="61" l="1"/>
  <c r="L57" i="61"/>
  <c r="C88" i="61"/>
  <c r="C91" i="61" s="1"/>
  <c r="D93" i="61"/>
  <c r="D158" i="61" s="1"/>
  <c r="D90" i="61"/>
  <c r="D92" i="61"/>
  <c r="C75" i="61"/>
  <c r="C81" i="61"/>
  <c r="O42" i="61"/>
  <c r="N43" i="61"/>
  <c r="D109" i="61"/>
  <c r="D107" i="61"/>
  <c r="K96" i="61"/>
  <c r="L1" i="61"/>
  <c r="AH32" i="61"/>
  <c r="D115" i="60"/>
  <c r="E115" i="60" s="1"/>
  <c r="F115" i="60" s="1"/>
  <c r="G115" i="60" s="1"/>
  <c r="H115" i="60" s="1"/>
  <c r="I115" i="60" s="1"/>
  <c r="AI32" i="61" l="1"/>
  <c r="P42" i="61"/>
  <c r="O43" i="61"/>
  <c r="D95" i="61"/>
  <c r="D99" i="61"/>
  <c r="D100" i="61" s="1"/>
  <c r="M57" i="61"/>
  <c r="L58" i="61"/>
  <c r="L96" i="61"/>
  <c r="M1" i="61"/>
  <c r="D111" i="61"/>
  <c r="C108" i="61"/>
  <c r="E110" i="61"/>
  <c r="J115" i="60"/>
  <c r="K115" i="60" s="1"/>
  <c r="L115" i="60" s="1"/>
  <c r="M115" i="60" s="1"/>
  <c r="N115" i="60" s="1"/>
  <c r="O115" i="60" s="1"/>
  <c r="P115" i="60" s="1"/>
  <c r="Q115" i="60" s="1"/>
  <c r="R115" i="60" s="1"/>
  <c r="S115" i="60" s="1"/>
  <c r="T115" i="60" s="1"/>
  <c r="U115" i="60" s="1"/>
  <c r="V115" i="60" s="1"/>
  <c r="W115" i="60" s="1"/>
  <c r="X115" i="60" s="1"/>
  <c r="Y115" i="60" s="1"/>
  <c r="Z115" i="60" s="1"/>
  <c r="AA115" i="60" s="1"/>
  <c r="AB115" i="60" s="1"/>
  <c r="AC115" i="60" s="1"/>
  <c r="AD115" i="60" s="1"/>
  <c r="AE115" i="60" s="1"/>
  <c r="AF115" i="60" s="1"/>
  <c r="AG115" i="60" s="1"/>
  <c r="AH115" i="60" s="1"/>
  <c r="AI115" i="60" s="1"/>
  <c r="AJ115" i="60" s="1"/>
  <c r="AK115" i="60" s="1"/>
  <c r="AL115" i="60" s="1"/>
  <c r="AM115" i="60" s="1"/>
  <c r="AN115" i="60" s="1"/>
  <c r="AO115" i="60" s="1"/>
  <c r="AP115" i="60" s="1"/>
  <c r="AQ115" i="60" s="1"/>
  <c r="AR115" i="60" s="1"/>
  <c r="AS115" i="60" s="1"/>
  <c r="AT115" i="60" s="1"/>
  <c r="AU115" i="60" s="1"/>
  <c r="AV115" i="60" s="1"/>
  <c r="AW115" i="60" s="1"/>
  <c r="AX115" i="60" s="1"/>
  <c r="AY115" i="60" s="1"/>
  <c r="AZ115" i="60" s="1"/>
  <c r="BA115" i="60" s="1"/>
  <c r="BB115" i="60" s="1"/>
  <c r="BC115" i="60" s="1"/>
  <c r="BD115" i="60" s="1"/>
  <c r="BE115" i="60" s="1"/>
  <c r="BF115" i="60" s="1"/>
  <c r="BG115" i="60" s="1"/>
  <c r="BH115" i="60" s="1"/>
  <c r="B39" i="53"/>
  <c r="C46" i="60"/>
  <c r="D52" i="60"/>
  <c r="E52" i="60" s="1"/>
  <c r="F52" i="60" s="1"/>
  <c r="B31" i="53"/>
  <c r="C106" i="60"/>
  <c r="E129" i="61" l="1"/>
  <c r="C130" i="61" s="1"/>
  <c r="E119" i="61"/>
  <c r="E114" i="61"/>
  <c r="E115" i="61" s="1"/>
  <c r="E112" i="61"/>
  <c r="E113" i="61"/>
  <c r="E117" i="61" s="1"/>
  <c r="E118" i="61"/>
  <c r="N57" i="61"/>
  <c r="M58" i="61"/>
  <c r="N1" i="61"/>
  <c r="M96" i="61"/>
  <c r="AJ32" i="61"/>
  <c r="Q42" i="61"/>
  <c r="P43" i="61"/>
  <c r="G52" i="60"/>
  <c r="H52" i="60" s="1"/>
  <c r="I52" i="60" s="1"/>
  <c r="J52" i="60" s="1"/>
  <c r="K52" i="60" s="1"/>
  <c r="L52" i="60" s="1"/>
  <c r="M52" i="60" s="1"/>
  <c r="N52" i="60" l="1"/>
  <c r="M53" i="60"/>
  <c r="N96" i="61"/>
  <c r="O1" i="61"/>
  <c r="E74" i="61"/>
  <c r="E123" i="61"/>
  <c r="E128" i="61" s="1"/>
  <c r="E120" i="61"/>
  <c r="AK32" i="61"/>
  <c r="O57" i="61"/>
  <c r="N58" i="61"/>
  <c r="Q43" i="61"/>
  <c r="R42" i="61"/>
  <c r="C45" i="60"/>
  <c r="C44" i="60"/>
  <c r="AM146" i="60"/>
  <c r="AL146" i="60"/>
  <c r="AK146" i="60"/>
  <c r="AJ146" i="60"/>
  <c r="AI146" i="60"/>
  <c r="AH146" i="60"/>
  <c r="AG146" i="60"/>
  <c r="AF146" i="60"/>
  <c r="AE146" i="60"/>
  <c r="AD146" i="60"/>
  <c r="AC146" i="60"/>
  <c r="AB146" i="60"/>
  <c r="AA146" i="60"/>
  <c r="Z146" i="60"/>
  <c r="Y146" i="60"/>
  <c r="X146" i="60"/>
  <c r="W146" i="60"/>
  <c r="V146" i="60"/>
  <c r="U146" i="60"/>
  <c r="T146" i="60"/>
  <c r="S146" i="60"/>
  <c r="R146" i="60"/>
  <c r="Q146" i="60"/>
  <c r="P146" i="60"/>
  <c r="O146" i="60"/>
  <c r="N146" i="60"/>
  <c r="M146" i="60"/>
  <c r="L146" i="60"/>
  <c r="K146" i="60"/>
  <c r="J146" i="60"/>
  <c r="I146" i="60"/>
  <c r="H146" i="60"/>
  <c r="G146" i="60"/>
  <c r="F146" i="60"/>
  <c r="E146" i="60"/>
  <c r="D146" i="60"/>
  <c r="AM145" i="60"/>
  <c r="AL145" i="60"/>
  <c r="AK145" i="60"/>
  <c r="AJ145" i="60"/>
  <c r="AI145" i="60"/>
  <c r="AH145" i="60"/>
  <c r="AG145" i="60"/>
  <c r="AF145" i="60"/>
  <c r="AE145" i="60"/>
  <c r="AD145" i="60"/>
  <c r="AC145" i="60"/>
  <c r="AB145" i="60"/>
  <c r="AA145" i="60"/>
  <c r="Z145" i="60"/>
  <c r="Y145" i="60"/>
  <c r="X145" i="60"/>
  <c r="W145" i="60"/>
  <c r="V145" i="60"/>
  <c r="U145" i="60"/>
  <c r="T145" i="60"/>
  <c r="S145" i="60"/>
  <c r="R145" i="60"/>
  <c r="Q145" i="60"/>
  <c r="P145" i="60"/>
  <c r="O145" i="60"/>
  <c r="N145" i="60"/>
  <c r="M145" i="60"/>
  <c r="L145" i="60"/>
  <c r="K145" i="60"/>
  <c r="J145" i="60"/>
  <c r="I145" i="60"/>
  <c r="H145" i="60"/>
  <c r="G145" i="60"/>
  <c r="F145" i="60"/>
  <c r="E145" i="60"/>
  <c r="D145" i="60"/>
  <c r="C139" i="60"/>
  <c r="D139" i="60" s="1"/>
  <c r="E139" i="60" s="1"/>
  <c r="F139" i="60" s="1"/>
  <c r="G139" i="60" s="1"/>
  <c r="H139" i="60" s="1"/>
  <c r="I139" i="60" s="1"/>
  <c r="J139" i="60" s="1"/>
  <c r="K139" i="60" s="1"/>
  <c r="L139" i="60" s="1"/>
  <c r="M139" i="60" s="1"/>
  <c r="N139" i="60" s="1"/>
  <c r="O139" i="60" s="1"/>
  <c r="P139" i="60" s="1"/>
  <c r="Q139" i="60" s="1"/>
  <c r="R139" i="60" s="1"/>
  <c r="S139" i="60" s="1"/>
  <c r="T139" i="60" s="1"/>
  <c r="U139" i="60" s="1"/>
  <c r="V139" i="60" s="1"/>
  <c r="W139" i="60" s="1"/>
  <c r="X139" i="60" s="1"/>
  <c r="Y139" i="60" s="1"/>
  <c r="Z139" i="60" s="1"/>
  <c r="AA139" i="60" s="1"/>
  <c r="AB139" i="60" s="1"/>
  <c r="AC139" i="60" s="1"/>
  <c r="AD139" i="60" s="1"/>
  <c r="AE139" i="60" s="1"/>
  <c r="AF139" i="60" s="1"/>
  <c r="AG139" i="60" s="1"/>
  <c r="AH139" i="60" s="1"/>
  <c r="AI139" i="60" s="1"/>
  <c r="AJ139" i="60" s="1"/>
  <c r="AK139" i="60" s="1"/>
  <c r="AL139" i="60" s="1"/>
  <c r="AM139" i="60" s="1"/>
  <c r="AN139" i="60" s="1"/>
  <c r="AO139" i="60" s="1"/>
  <c r="AP139" i="60" s="1"/>
  <c r="AQ139" i="60" s="1"/>
  <c r="AR139" i="60" s="1"/>
  <c r="AS139" i="60" s="1"/>
  <c r="AT139" i="60" s="1"/>
  <c r="AU139" i="60" s="1"/>
  <c r="AV139" i="60" s="1"/>
  <c r="AW139" i="60" s="1"/>
  <c r="AX139" i="60" s="1"/>
  <c r="AY139" i="60" s="1"/>
  <c r="AZ139" i="60" s="1"/>
  <c r="BA139" i="60" s="1"/>
  <c r="BB139" i="60" s="1"/>
  <c r="BC139" i="60" s="1"/>
  <c r="BD139" i="60" s="1"/>
  <c r="BE139" i="60" s="1"/>
  <c r="BF139" i="60" s="1"/>
  <c r="BG139" i="60" s="1"/>
  <c r="BH139" i="60" s="1"/>
  <c r="C131" i="60"/>
  <c r="D131" i="60" s="1"/>
  <c r="E131" i="60" s="1"/>
  <c r="F131" i="60" s="1"/>
  <c r="G131" i="60" s="1"/>
  <c r="H131" i="60" s="1"/>
  <c r="I131" i="60" s="1"/>
  <c r="J131" i="60" s="1"/>
  <c r="K131" i="60" s="1"/>
  <c r="L131" i="60" s="1"/>
  <c r="M131" i="60" s="1"/>
  <c r="N131" i="60" s="1"/>
  <c r="O131" i="60" s="1"/>
  <c r="P131" i="60" s="1"/>
  <c r="Q131" i="60" s="1"/>
  <c r="R131" i="60" s="1"/>
  <c r="S131" i="60" s="1"/>
  <c r="T131" i="60" s="1"/>
  <c r="U131" i="60" s="1"/>
  <c r="V131" i="60" s="1"/>
  <c r="W131" i="60" s="1"/>
  <c r="X131" i="60" s="1"/>
  <c r="Y131" i="60" s="1"/>
  <c r="Z131" i="60" s="1"/>
  <c r="AA131" i="60" s="1"/>
  <c r="AB131" i="60" s="1"/>
  <c r="AC131" i="60" s="1"/>
  <c r="AD131" i="60" s="1"/>
  <c r="AE131" i="60" s="1"/>
  <c r="AF131" i="60" s="1"/>
  <c r="AG131" i="60" s="1"/>
  <c r="AH131" i="60" s="1"/>
  <c r="AI131" i="60" s="1"/>
  <c r="AJ131" i="60" s="1"/>
  <c r="AK131" i="60" s="1"/>
  <c r="AL131" i="60" s="1"/>
  <c r="AM131" i="60" s="1"/>
  <c r="AN131" i="60" s="1"/>
  <c r="AO131" i="60" s="1"/>
  <c r="AP131" i="60" s="1"/>
  <c r="AQ131" i="60" s="1"/>
  <c r="AR131" i="60" s="1"/>
  <c r="AS131" i="60" s="1"/>
  <c r="AT131" i="60" s="1"/>
  <c r="AU131" i="60" s="1"/>
  <c r="AV131" i="60" s="1"/>
  <c r="AW131" i="60" s="1"/>
  <c r="AX131" i="60" s="1"/>
  <c r="AY131" i="60" s="1"/>
  <c r="AZ131" i="60" s="1"/>
  <c r="BA131" i="60" s="1"/>
  <c r="BB131" i="60" s="1"/>
  <c r="BC131" i="60" s="1"/>
  <c r="BD131" i="60" s="1"/>
  <c r="BE131" i="60" s="1"/>
  <c r="BF131" i="60" s="1"/>
  <c r="BG131" i="60" s="1"/>
  <c r="BH131" i="60" s="1"/>
  <c r="AM125" i="60"/>
  <c r="AL125" i="60"/>
  <c r="AK125" i="60"/>
  <c r="AJ125" i="60"/>
  <c r="AI125" i="60"/>
  <c r="AH125" i="60"/>
  <c r="AG125" i="60"/>
  <c r="AF125" i="60"/>
  <c r="AE125" i="60"/>
  <c r="AD125" i="60"/>
  <c r="AC125" i="60"/>
  <c r="AB125" i="60"/>
  <c r="AA125" i="60"/>
  <c r="Z125" i="60"/>
  <c r="Y125" i="60"/>
  <c r="X125" i="60"/>
  <c r="W125" i="60"/>
  <c r="V125" i="60"/>
  <c r="U125" i="60"/>
  <c r="T125" i="60"/>
  <c r="S125" i="60"/>
  <c r="R125" i="60"/>
  <c r="Q125" i="60"/>
  <c r="P125" i="60"/>
  <c r="O125" i="60"/>
  <c r="N125" i="60"/>
  <c r="M125" i="60"/>
  <c r="L125" i="60"/>
  <c r="K125" i="60"/>
  <c r="J125" i="60"/>
  <c r="I125" i="60"/>
  <c r="H125" i="60"/>
  <c r="G125" i="60"/>
  <c r="F125" i="60"/>
  <c r="E125" i="60"/>
  <c r="D125" i="60"/>
  <c r="C123" i="60"/>
  <c r="C113" i="60"/>
  <c r="C112" i="60"/>
  <c r="C117" i="60" s="1"/>
  <c r="AM110" i="60"/>
  <c r="AL110" i="60"/>
  <c r="AK110" i="60"/>
  <c r="AJ110" i="60"/>
  <c r="AI110" i="60"/>
  <c r="AH110" i="60"/>
  <c r="AG110" i="60"/>
  <c r="AF110" i="60"/>
  <c r="AE110" i="60"/>
  <c r="AD110" i="60"/>
  <c r="AC110" i="60"/>
  <c r="AB110" i="60"/>
  <c r="AA110" i="60"/>
  <c r="Z110" i="60"/>
  <c r="Y110" i="60"/>
  <c r="X110" i="60"/>
  <c r="W110" i="60"/>
  <c r="V110" i="60"/>
  <c r="U110" i="60"/>
  <c r="T110" i="60"/>
  <c r="S110" i="60"/>
  <c r="R110" i="60"/>
  <c r="Q110" i="60"/>
  <c r="P110" i="60"/>
  <c r="O110" i="60"/>
  <c r="N110" i="60"/>
  <c r="M110" i="60"/>
  <c r="L110" i="60"/>
  <c r="K110" i="60"/>
  <c r="J110" i="60"/>
  <c r="I110" i="60"/>
  <c r="H110" i="60"/>
  <c r="G110" i="60"/>
  <c r="F110" i="60"/>
  <c r="E110" i="60"/>
  <c r="D110" i="60"/>
  <c r="C107" i="60"/>
  <c r="C111" i="60" s="1"/>
  <c r="AM102" i="60"/>
  <c r="AM61" i="60"/>
  <c r="AL61" i="60"/>
  <c r="AK61" i="60"/>
  <c r="AJ61" i="60"/>
  <c r="AI61" i="60"/>
  <c r="AH61" i="60"/>
  <c r="AG61" i="60"/>
  <c r="AF61" i="60"/>
  <c r="AE61" i="60"/>
  <c r="AD61" i="60"/>
  <c r="AC61" i="60"/>
  <c r="AB61" i="60"/>
  <c r="AA61" i="60"/>
  <c r="Z61" i="60"/>
  <c r="Y61" i="60"/>
  <c r="X61" i="60"/>
  <c r="W61" i="60"/>
  <c r="V61" i="60"/>
  <c r="U61" i="60"/>
  <c r="T61" i="60"/>
  <c r="S61" i="60"/>
  <c r="R61" i="60"/>
  <c r="Q61" i="60"/>
  <c r="P61" i="60"/>
  <c r="O61" i="60"/>
  <c r="N61" i="60"/>
  <c r="M61" i="60"/>
  <c r="L61" i="60"/>
  <c r="K61" i="60"/>
  <c r="J61" i="60"/>
  <c r="I61" i="60"/>
  <c r="H61" i="60"/>
  <c r="G61" i="60"/>
  <c r="F61" i="60"/>
  <c r="E61" i="60"/>
  <c r="D61" i="60"/>
  <c r="C61" i="60"/>
  <c r="AM60" i="60"/>
  <c r="AM62" i="60" s="1"/>
  <c r="AL60" i="60"/>
  <c r="AL62" i="60" s="1"/>
  <c r="AK60" i="60"/>
  <c r="AK62" i="60" s="1"/>
  <c r="AJ60" i="60"/>
  <c r="AJ62" i="60" s="1"/>
  <c r="AI60" i="60"/>
  <c r="AI62" i="60" s="1"/>
  <c r="AH60" i="60"/>
  <c r="AH62" i="60" s="1"/>
  <c r="AG60" i="60"/>
  <c r="AG62" i="60" s="1"/>
  <c r="AF60" i="60"/>
  <c r="AF62" i="60" s="1"/>
  <c r="AE60" i="60"/>
  <c r="AE62" i="60" s="1"/>
  <c r="AD60" i="60"/>
  <c r="AD62" i="60" s="1"/>
  <c r="AC60" i="60"/>
  <c r="AC62" i="60" s="1"/>
  <c r="AB60" i="60"/>
  <c r="AB62" i="60" s="1"/>
  <c r="AA60" i="60"/>
  <c r="AA62" i="60" s="1"/>
  <c r="Z60" i="60"/>
  <c r="Z62" i="60" s="1"/>
  <c r="Y60" i="60"/>
  <c r="Y62" i="60" s="1"/>
  <c r="X60" i="60"/>
  <c r="X62" i="60" s="1"/>
  <c r="W60" i="60"/>
  <c r="W62" i="60" s="1"/>
  <c r="V60" i="60"/>
  <c r="V62" i="60" s="1"/>
  <c r="U60" i="60"/>
  <c r="U62" i="60" s="1"/>
  <c r="T60" i="60"/>
  <c r="T62" i="60" s="1"/>
  <c r="S60" i="60"/>
  <c r="S62" i="60" s="1"/>
  <c r="R60" i="60"/>
  <c r="R62" i="60" s="1"/>
  <c r="Q60" i="60"/>
  <c r="Q62" i="60" s="1"/>
  <c r="P60" i="60"/>
  <c r="P62" i="60" s="1"/>
  <c r="O60" i="60"/>
  <c r="O62" i="60" s="1"/>
  <c r="N60" i="60"/>
  <c r="N62" i="60" s="1"/>
  <c r="M60" i="60"/>
  <c r="M62" i="60" s="1"/>
  <c r="L60" i="60"/>
  <c r="L62" i="60" s="1"/>
  <c r="K60" i="60"/>
  <c r="K62" i="60" s="1"/>
  <c r="J60" i="60"/>
  <c r="J62" i="60" s="1"/>
  <c r="I60" i="60"/>
  <c r="I62" i="60" s="1"/>
  <c r="H60" i="60"/>
  <c r="H62" i="60" s="1"/>
  <c r="G60" i="60"/>
  <c r="G62" i="60" s="1"/>
  <c r="F60" i="60"/>
  <c r="F62" i="60" s="1"/>
  <c r="E60" i="60"/>
  <c r="E62" i="60" s="1"/>
  <c r="D60" i="60"/>
  <c r="D62" i="60" s="1"/>
  <c r="C60" i="60"/>
  <c r="C62" i="60" s="1"/>
  <c r="AM59" i="60"/>
  <c r="AL59" i="60"/>
  <c r="AK59" i="60"/>
  <c r="AJ59" i="60"/>
  <c r="AI59" i="60"/>
  <c r="AH59" i="60"/>
  <c r="AG59" i="60"/>
  <c r="AF59" i="60"/>
  <c r="AE59" i="60"/>
  <c r="AD59" i="60"/>
  <c r="AC59" i="60"/>
  <c r="AB59" i="60"/>
  <c r="AA59" i="60"/>
  <c r="Z59" i="60"/>
  <c r="Y59" i="60"/>
  <c r="X59" i="60"/>
  <c r="W59" i="60"/>
  <c r="V59" i="60"/>
  <c r="U59" i="60"/>
  <c r="T59" i="60"/>
  <c r="S59" i="60"/>
  <c r="R59" i="60"/>
  <c r="Q59" i="60"/>
  <c r="P59" i="60"/>
  <c r="O59" i="60"/>
  <c r="N59" i="60"/>
  <c r="M59" i="60"/>
  <c r="L59" i="60"/>
  <c r="K59" i="60"/>
  <c r="J59" i="60"/>
  <c r="I59" i="60"/>
  <c r="H59" i="60"/>
  <c r="G59" i="60"/>
  <c r="F59" i="60"/>
  <c r="E59" i="60"/>
  <c r="D59" i="60"/>
  <c r="C59" i="60"/>
  <c r="AM58" i="60"/>
  <c r="AL58" i="60"/>
  <c r="AK58" i="60"/>
  <c r="AJ58" i="60"/>
  <c r="AI58" i="60"/>
  <c r="AH58" i="60"/>
  <c r="AG58" i="60"/>
  <c r="AF58" i="60"/>
  <c r="AE58" i="60"/>
  <c r="AD58" i="60"/>
  <c r="AC58" i="60"/>
  <c r="AB58" i="60"/>
  <c r="AA58" i="60"/>
  <c r="Z58" i="60"/>
  <c r="Y58" i="60"/>
  <c r="X58" i="60"/>
  <c r="W58" i="60"/>
  <c r="V58" i="60"/>
  <c r="U58" i="60"/>
  <c r="T58" i="60"/>
  <c r="S58" i="60"/>
  <c r="R58" i="60"/>
  <c r="Q58" i="60"/>
  <c r="P58" i="60"/>
  <c r="O58" i="60"/>
  <c r="N58" i="60"/>
  <c r="M58" i="60"/>
  <c r="L58" i="60"/>
  <c r="K58" i="60"/>
  <c r="J58" i="60"/>
  <c r="I58" i="60"/>
  <c r="H58" i="60"/>
  <c r="G58" i="60"/>
  <c r="F58" i="60"/>
  <c r="E58" i="60"/>
  <c r="D58" i="60"/>
  <c r="C58" i="60"/>
  <c r="D89" i="60"/>
  <c r="E89" i="60" s="1"/>
  <c r="F89" i="60" s="1"/>
  <c r="G89" i="60" s="1"/>
  <c r="H89" i="60" s="1"/>
  <c r="I89" i="60" s="1"/>
  <c r="J89" i="60" s="1"/>
  <c r="K89" i="60" s="1"/>
  <c r="L89" i="60" s="1"/>
  <c r="M89" i="60" s="1"/>
  <c r="N89" i="60" s="1"/>
  <c r="O89" i="60" s="1"/>
  <c r="P89" i="60" s="1"/>
  <c r="Q89" i="60" s="1"/>
  <c r="R89" i="60" s="1"/>
  <c r="S89" i="60" s="1"/>
  <c r="T89" i="60" s="1"/>
  <c r="U89" i="60" s="1"/>
  <c r="V89" i="60" s="1"/>
  <c r="W89" i="60" s="1"/>
  <c r="X89" i="60" s="1"/>
  <c r="Y89" i="60" s="1"/>
  <c r="Z89" i="60" s="1"/>
  <c r="AA89" i="60" s="1"/>
  <c r="AB89" i="60" s="1"/>
  <c r="AC89" i="60" s="1"/>
  <c r="AD89" i="60" s="1"/>
  <c r="AE89" i="60" s="1"/>
  <c r="AF89" i="60" s="1"/>
  <c r="AG89" i="60" s="1"/>
  <c r="AH89" i="60" s="1"/>
  <c r="AI89" i="60" s="1"/>
  <c r="AJ89" i="60" s="1"/>
  <c r="AK89" i="60" s="1"/>
  <c r="AL89" i="60" s="1"/>
  <c r="AM89" i="60" s="1"/>
  <c r="AN89" i="60" s="1"/>
  <c r="AO89" i="60" s="1"/>
  <c r="AP89" i="60" s="1"/>
  <c r="AQ89" i="60" s="1"/>
  <c r="AR89" i="60" s="1"/>
  <c r="AS89" i="60" s="1"/>
  <c r="AT89" i="60" s="1"/>
  <c r="AU89" i="60" s="1"/>
  <c r="AV89" i="60" s="1"/>
  <c r="AW89" i="60" s="1"/>
  <c r="AX89" i="60" s="1"/>
  <c r="AY89" i="60" s="1"/>
  <c r="AZ89" i="60" s="1"/>
  <c r="BA89" i="60" s="1"/>
  <c r="BB89" i="60" s="1"/>
  <c r="BC89" i="60" s="1"/>
  <c r="BD89" i="60" s="1"/>
  <c r="BE89" i="60" s="1"/>
  <c r="BF89" i="60" s="1"/>
  <c r="BG89" i="60" s="1"/>
  <c r="BH89" i="60" s="1"/>
  <c r="C88" i="60"/>
  <c r="C87" i="60"/>
  <c r="AM86" i="60"/>
  <c r="C85" i="60"/>
  <c r="C90" i="60" s="1"/>
  <c r="AM82" i="60"/>
  <c r="AL82" i="60"/>
  <c r="D79" i="60"/>
  <c r="E79" i="60" s="1"/>
  <c r="F79" i="60" s="1"/>
  <c r="G79" i="60" s="1"/>
  <c r="H79" i="60" s="1"/>
  <c r="I79" i="60" s="1"/>
  <c r="J79" i="60" s="1"/>
  <c r="K79" i="60" s="1"/>
  <c r="L79" i="60" s="1"/>
  <c r="M79" i="60" s="1"/>
  <c r="N79" i="60" s="1"/>
  <c r="O79" i="60" s="1"/>
  <c r="P79" i="60" s="1"/>
  <c r="Q79" i="60" s="1"/>
  <c r="R79" i="60" s="1"/>
  <c r="S79" i="60" s="1"/>
  <c r="T79" i="60" s="1"/>
  <c r="U79" i="60" s="1"/>
  <c r="V79" i="60" s="1"/>
  <c r="W79" i="60" s="1"/>
  <c r="X79" i="60" s="1"/>
  <c r="Y79" i="60" s="1"/>
  <c r="Z79" i="60" s="1"/>
  <c r="AA79" i="60" s="1"/>
  <c r="AB79" i="60" s="1"/>
  <c r="AC79" i="60" s="1"/>
  <c r="AD79" i="60" s="1"/>
  <c r="AE79" i="60" s="1"/>
  <c r="AF79" i="60" s="1"/>
  <c r="AG79" i="60" s="1"/>
  <c r="AH79" i="60" s="1"/>
  <c r="AI79" i="60" s="1"/>
  <c r="AJ79" i="60" s="1"/>
  <c r="AK79" i="60" s="1"/>
  <c r="AL79" i="60" s="1"/>
  <c r="AM79" i="60" s="1"/>
  <c r="AN79" i="60" s="1"/>
  <c r="AO79" i="60" s="1"/>
  <c r="AP79" i="60" s="1"/>
  <c r="AQ79" i="60" s="1"/>
  <c r="AR79" i="60" s="1"/>
  <c r="AS79" i="60" s="1"/>
  <c r="AT79" i="60" s="1"/>
  <c r="AU79" i="60" s="1"/>
  <c r="AV79" i="60" s="1"/>
  <c r="AW79" i="60" s="1"/>
  <c r="AX79" i="60" s="1"/>
  <c r="AY79" i="60" s="1"/>
  <c r="AZ79" i="60" s="1"/>
  <c r="BA79" i="60" s="1"/>
  <c r="BB79" i="60" s="1"/>
  <c r="BC79" i="60" s="1"/>
  <c r="BD79" i="60" s="1"/>
  <c r="BE79" i="60" s="1"/>
  <c r="BF79" i="60" s="1"/>
  <c r="BG79" i="60" s="1"/>
  <c r="BH79" i="60" s="1"/>
  <c r="AM70" i="60"/>
  <c r="AM67" i="60"/>
  <c r="AL67" i="60"/>
  <c r="AM40" i="60"/>
  <c r="AL40" i="60"/>
  <c r="D37" i="60"/>
  <c r="E37" i="60" s="1"/>
  <c r="F37" i="60" s="1"/>
  <c r="C36" i="60"/>
  <c r="C35" i="60"/>
  <c r="AM34" i="60"/>
  <c r="C33" i="60"/>
  <c r="AM30" i="60"/>
  <c r="AL30" i="60"/>
  <c r="D27" i="60"/>
  <c r="E27" i="60" s="1"/>
  <c r="F27" i="60" s="1"/>
  <c r="C20" i="60"/>
  <c r="C19" i="60"/>
  <c r="AM18" i="60"/>
  <c r="AM15" i="60"/>
  <c r="AL15" i="60"/>
  <c r="H6" i="60"/>
  <c r="G6" i="60"/>
  <c r="F6" i="60"/>
  <c r="E6" i="60"/>
  <c r="D6" i="60"/>
  <c r="C6" i="60"/>
  <c r="H5" i="60"/>
  <c r="G5" i="60"/>
  <c r="F5" i="60"/>
  <c r="E5" i="60"/>
  <c r="D5" i="60"/>
  <c r="C5" i="60"/>
  <c r="AM4" i="60"/>
  <c r="AL4" i="60"/>
  <c r="AK4" i="60"/>
  <c r="AJ4" i="60"/>
  <c r="AI4" i="60"/>
  <c r="AH4" i="60"/>
  <c r="AG4" i="60"/>
  <c r="AF4" i="60"/>
  <c r="AE4" i="60"/>
  <c r="AD4" i="60"/>
  <c r="AC4" i="60"/>
  <c r="AB4" i="60"/>
  <c r="AA4" i="60"/>
  <c r="Z4" i="60"/>
  <c r="Y4" i="60"/>
  <c r="X4" i="60"/>
  <c r="W4" i="60"/>
  <c r="V4" i="60"/>
  <c r="U4" i="60"/>
  <c r="T4" i="60"/>
  <c r="S4" i="60"/>
  <c r="R4" i="60"/>
  <c r="Q4" i="60"/>
  <c r="P4" i="60"/>
  <c r="O4" i="60"/>
  <c r="N4" i="60"/>
  <c r="M4" i="60"/>
  <c r="L4" i="60"/>
  <c r="K4" i="60"/>
  <c r="J4" i="60"/>
  <c r="I4" i="60"/>
  <c r="H4" i="60"/>
  <c r="G4" i="60"/>
  <c r="F4" i="60"/>
  <c r="E4" i="60"/>
  <c r="D4" i="60"/>
  <c r="C4" i="60"/>
  <c r="AM3" i="60"/>
  <c r="AL3" i="60"/>
  <c r="AK3" i="60"/>
  <c r="AJ3" i="60"/>
  <c r="AI3" i="60"/>
  <c r="AH3" i="60"/>
  <c r="AG3" i="60"/>
  <c r="AF3" i="60"/>
  <c r="AE3" i="60"/>
  <c r="AD3" i="60"/>
  <c r="AC3" i="60"/>
  <c r="AB3" i="60"/>
  <c r="AA3" i="60"/>
  <c r="Z3" i="60"/>
  <c r="Y3" i="60"/>
  <c r="X3" i="60"/>
  <c r="W3" i="60"/>
  <c r="V3" i="60"/>
  <c r="U3" i="60"/>
  <c r="T3" i="60"/>
  <c r="S3" i="60"/>
  <c r="R3" i="60"/>
  <c r="Q3" i="60"/>
  <c r="P3" i="60"/>
  <c r="O3" i="60"/>
  <c r="N3" i="60"/>
  <c r="M3" i="60"/>
  <c r="L3" i="60"/>
  <c r="K3" i="60"/>
  <c r="J3" i="60"/>
  <c r="I3" i="60"/>
  <c r="H3" i="60"/>
  <c r="G3" i="60"/>
  <c r="F3" i="60"/>
  <c r="E3" i="60"/>
  <c r="D3" i="60"/>
  <c r="C3" i="60"/>
  <c r="D1" i="60"/>
  <c r="D42" i="60" l="1"/>
  <c r="D91" i="60"/>
  <c r="O52" i="60"/>
  <c r="N53" i="60"/>
  <c r="E126" i="61"/>
  <c r="E122" i="61"/>
  <c r="E125" i="61"/>
  <c r="E132" i="61" s="1"/>
  <c r="P57" i="61"/>
  <c r="O58" i="61"/>
  <c r="E89" i="61"/>
  <c r="E79" i="61"/>
  <c r="E76" i="61"/>
  <c r="D73" i="61"/>
  <c r="E77" i="61"/>
  <c r="E105" i="61"/>
  <c r="E106" i="61" s="1"/>
  <c r="S42" i="61"/>
  <c r="R43" i="61"/>
  <c r="AL32" i="61"/>
  <c r="O96" i="61"/>
  <c r="P1" i="61"/>
  <c r="E1" i="60"/>
  <c r="F63" i="60"/>
  <c r="F64" i="60" s="1"/>
  <c r="N63" i="60"/>
  <c r="N64" i="60" s="1"/>
  <c r="V63" i="60"/>
  <c r="V64" i="60" s="1"/>
  <c r="AL63" i="60"/>
  <c r="AL64" i="60" s="1"/>
  <c r="D63" i="60"/>
  <c r="D64" i="60" s="1"/>
  <c r="H63" i="60"/>
  <c r="H64" i="60" s="1"/>
  <c r="T63" i="60"/>
  <c r="T64" i="60" s="1"/>
  <c r="AJ63" i="60"/>
  <c r="AJ64" i="60" s="1"/>
  <c r="E63" i="60"/>
  <c r="E64" i="60" s="1"/>
  <c r="M63" i="60"/>
  <c r="M64" i="60" s="1"/>
  <c r="Q63" i="60"/>
  <c r="Q64" i="60" s="1"/>
  <c r="U63" i="60"/>
  <c r="U64" i="60" s="1"/>
  <c r="Y63" i="60"/>
  <c r="Y64" i="60" s="1"/>
  <c r="AC63" i="60"/>
  <c r="AC64" i="60" s="1"/>
  <c r="AG63" i="60"/>
  <c r="AG64" i="60" s="1"/>
  <c r="AK63" i="60"/>
  <c r="AK64" i="60" s="1"/>
  <c r="C114" i="60"/>
  <c r="O7" i="60"/>
  <c r="AE7" i="60"/>
  <c r="F7" i="60"/>
  <c r="J7" i="60"/>
  <c r="N7" i="60"/>
  <c r="R7" i="60"/>
  <c r="V7" i="60"/>
  <c r="Z7" i="60"/>
  <c r="AD7" i="60"/>
  <c r="AH7" i="60"/>
  <c r="AL7" i="60"/>
  <c r="D7" i="60"/>
  <c r="L7" i="60"/>
  <c r="P7" i="60"/>
  <c r="T7" i="60"/>
  <c r="X7" i="60"/>
  <c r="AB7" i="60"/>
  <c r="AF7" i="60"/>
  <c r="AJ7" i="60"/>
  <c r="C69" i="60"/>
  <c r="C99" i="60" s="1"/>
  <c r="C7" i="60"/>
  <c r="G7" i="60"/>
  <c r="K7" i="60"/>
  <c r="S7" i="60"/>
  <c r="W7" i="60"/>
  <c r="AA7" i="60"/>
  <c r="AI7" i="60"/>
  <c r="AM7" i="60"/>
  <c r="AH63" i="60"/>
  <c r="G37" i="60"/>
  <c r="H37" i="60" s="1"/>
  <c r="I37" i="60" s="1"/>
  <c r="J37" i="60" s="1"/>
  <c r="K37" i="60" s="1"/>
  <c r="L37" i="60" s="1"/>
  <c r="X63" i="60"/>
  <c r="X64" i="60" s="1"/>
  <c r="R63" i="60"/>
  <c r="AB63" i="60"/>
  <c r="G27" i="60"/>
  <c r="H27" i="60" s="1"/>
  <c r="I27" i="60" s="1"/>
  <c r="H7" i="60"/>
  <c r="E7" i="60"/>
  <c r="I7" i="60"/>
  <c r="M7" i="60"/>
  <c r="Q7" i="60"/>
  <c r="U7" i="60"/>
  <c r="Y7" i="60"/>
  <c r="AC7" i="60"/>
  <c r="AG7" i="60"/>
  <c r="AK7" i="60"/>
  <c r="C94" i="60"/>
  <c r="C95" i="60" s="1"/>
  <c r="C38" i="60"/>
  <c r="C152" i="60"/>
  <c r="I3" i="57"/>
  <c r="B35" i="19"/>
  <c r="B34" i="19"/>
  <c r="B25" i="53"/>
  <c r="P52" i="60" l="1"/>
  <c r="O53" i="60"/>
  <c r="E42" i="60"/>
  <c r="E91" i="60"/>
  <c r="C120" i="60"/>
  <c r="C119" i="60"/>
  <c r="D17" i="60"/>
  <c r="D46" i="60"/>
  <c r="D45" i="60"/>
  <c r="D44" i="60"/>
  <c r="C41" i="60"/>
  <c r="T42" i="61"/>
  <c r="S43" i="61"/>
  <c r="E109" i="61"/>
  <c r="E107" i="61"/>
  <c r="P96" i="61"/>
  <c r="Q1" i="61"/>
  <c r="AM32" i="61"/>
  <c r="C72" i="61"/>
  <c r="D81" i="61"/>
  <c r="D75" i="61"/>
  <c r="E93" i="61"/>
  <c r="E158" i="61" s="1"/>
  <c r="D88" i="61"/>
  <c r="E90" i="61"/>
  <c r="E92" i="61"/>
  <c r="Q57" i="61"/>
  <c r="P58" i="61"/>
  <c r="F1" i="60"/>
  <c r="C116" i="60"/>
  <c r="AD63" i="60"/>
  <c r="AD64" i="60" s="1"/>
  <c r="I63" i="60"/>
  <c r="I64" i="60" s="1"/>
  <c r="E53" i="60"/>
  <c r="K53" i="60"/>
  <c r="G53" i="60"/>
  <c r="L53" i="60"/>
  <c r="J53" i="60"/>
  <c r="D53" i="60"/>
  <c r="F53" i="60"/>
  <c r="H53" i="60"/>
  <c r="I53" i="60"/>
  <c r="C71" i="60"/>
  <c r="C72" i="60"/>
  <c r="C150" i="60" s="1"/>
  <c r="C74" i="60"/>
  <c r="AH64" i="60"/>
  <c r="R64" i="60"/>
  <c r="M37" i="60"/>
  <c r="N37" i="60" s="1"/>
  <c r="O37" i="60" s="1"/>
  <c r="AM63" i="60"/>
  <c r="AM64" i="60" s="1"/>
  <c r="AE63" i="60"/>
  <c r="AE64" i="60" s="1"/>
  <c r="AB64" i="60"/>
  <c r="L63" i="60"/>
  <c r="L64" i="60" s="1"/>
  <c r="W63" i="60"/>
  <c r="W64" i="60" s="1"/>
  <c r="S63" i="60"/>
  <c r="S64" i="60" s="1"/>
  <c r="C63" i="60"/>
  <c r="C64" i="60" s="1"/>
  <c r="O63" i="60"/>
  <c r="O64" i="60" s="1"/>
  <c r="J63" i="60"/>
  <c r="J64" i="60" s="1"/>
  <c r="AI63" i="60"/>
  <c r="AI64" i="60" s="1"/>
  <c r="J27" i="60"/>
  <c r="AF63" i="60"/>
  <c r="AF64" i="60" s="1"/>
  <c r="Z63" i="60"/>
  <c r="Z64" i="60" s="1"/>
  <c r="P63" i="60"/>
  <c r="P64" i="60" s="1"/>
  <c r="AA63" i="60"/>
  <c r="AA64" i="60" s="1"/>
  <c r="B8" i="59"/>
  <c r="H3" i="56"/>
  <c r="G3" i="56"/>
  <c r="F42" i="60" l="1"/>
  <c r="F91" i="60"/>
  <c r="E17" i="60"/>
  <c r="D41" i="60"/>
  <c r="C40" i="60" s="1"/>
  <c r="E46" i="60"/>
  <c r="E44" i="60"/>
  <c r="E45" i="60"/>
  <c r="D49" i="60"/>
  <c r="D32" i="60" s="1"/>
  <c r="D19" i="60"/>
  <c r="D20" i="60"/>
  <c r="C16" i="60"/>
  <c r="Q52" i="60"/>
  <c r="P53" i="60"/>
  <c r="D91" i="61"/>
  <c r="C87" i="61"/>
  <c r="R1" i="61"/>
  <c r="Q96" i="61"/>
  <c r="R57" i="61"/>
  <c r="Q58" i="61"/>
  <c r="U42" i="61"/>
  <c r="T43" i="61"/>
  <c r="E95" i="61"/>
  <c r="E99" i="61"/>
  <c r="E100" i="61" s="1"/>
  <c r="AN32" i="61"/>
  <c r="D108" i="61"/>
  <c r="E111" i="61"/>
  <c r="F110" i="61"/>
  <c r="G1" i="60"/>
  <c r="C53" i="60"/>
  <c r="K27" i="60"/>
  <c r="K63" i="60"/>
  <c r="K64" i="60" s="1"/>
  <c r="P37" i="60"/>
  <c r="G63" i="60"/>
  <c r="G64" i="60" s="1"/>
  <c r="B10" i="53"/>
  <c r="B11" i="53" s="1"/>
  <c r="B43" i="53" s="1"/>
  <c r="I22" i="57"/>
  <c r="C18" i="60" l="1"/>
  <c r="C24" i="60"/>
  <c r="E49" i="60"/>
  <c r="E32" i="60" s="1"/>
  <c r="D16" i="60"/>
  <c r="E19" i="60"/>
  <c r="E20" i="60"/>
  <c r="G42" i="60"/>
  <c r="G91" i="60"/>
  <c r="R52" i="60"/>
  <c r="Q53" i="60"/>
  <c r="D48" i="60"/>
  <c r="D47" i="60" s="1"/>
  <c r="F17" i="60"/>
  <c r="E41" i="60"/>
  <c r="D40" i="60" s="1"/>
  <c r="F46" i="60"/>
  <c r="F44" i="60"/>
  <c r="F45" i="60"/>
  <c r="AO32" i="61"/>
  <c r="S1" i="61"/>
  <c r="R96" i="61"/>
  <c r="V42" i="61"/>
  <c r="U43" i="61"/>
  <c r="S57" i="61"/>
  <c r="R58" i="61"/>
  <c r="F118" i="61"/>
  <c r="F114" i="61"/>
  <c r="F115" i="61" s="1"/>
  <c r="F112" i="61"/>
  <c r="F119" i="61"/>
  <c r="F113" i="61"/>
  <c r="F117" i="61" s="1"/>
  <c r="F129" i="61"/>
  <c r="D130" i="61" s="1"/>
  <c r="H1" i="60"/>
  <c r="Q37" i="60"/>
  <c r="C126" i="60"/>
  <c r="L27" i="60"/>
  <c r="D10" i="53"/>
  <c r="B3" i="56"/>
  <c r="B6" i="58"/>
  <c r="B23" i="59"/>
  <c r="B13" i="59"/>
  <c r="B23" i="58"/>
  <c r="B22" i="58"/>
  <c r="B14" i="54"/>
  <c r="B12" i="54"/>
  <c r="B11" i="54"/>
  <c r="B10" i="54"/>
  <c r="B3" i="54"/>
  <c r="H26" i="57"/>
  <c r="H25" i="57"/>
  <c r="H24" i="57"/>
  <c r="H23" i="57"/>
  <c r="I23" i="57" s="1"/>
  <c r="H22" i="57"/>
  <c r="H20" i="57"/>
  <c r="H19" i="57"/>
  <c r="H18" i="57"/>
  <c r="H16" i="57"/>
  <c r="H15" i="57"/>
  <c r="H14" i="57"/>
  <c r="H13" i="57"/>
  <c r="H12" i="57"/>
  <c r="H11" i="57"/>
  <c r="H10" i="57"/>
  <c r="H9" i="57"/>
  <c r="H8" i="57"/>
  <c r="H7" i="57"/>
  <c r="H6" i="57"/>
  <c r="H5" i="57"/>
  <c r="H4" i="57"/>
  <c r="H3" i="57"/>
  <c r="I30" i="57"/>
  <c r="I26" i="57"/>
  <c r="E26" i="57"/>
  <c r="I25" i="57"/>
  <c r="E25" i="57"/>
  <c r="I24" i="57"/>
  <c r="E23" i="57"/>
  <c r="E20" i="57"/>
  <c r="I19" i="57"/>
  <c r="E19" i="57"/>
  <c r="I18" i="57"/>
  <c r="E18" i="57"/>
  <c r="I16" i="57"/>
  <c r="I15" i="57"/>
  <c r="E15" i="57"/>
  <c r="I14" i="57"/>
  <c r="E14" i="57"/>
  <c r="E13" i="57"/>
  <c r="I13" i="57" s="1"/>
  <c r="E12" i="57"/>
  <c r="I12" i="57" s="1"/>
  <c r="I11" i="57"/>
  <c r="E11" i="57"/>
  <c r="I10" i="57"/>
  <c r="E10" i="57"/>
  <c r="E9" i="57"/>
  <c r="I9" i="57" s="1"/>
  <c r="E8" i="57"/>
  <c r="I8" i="57" s="1"/>
  <c r="I7" i="57"/>
  <c r="E7" i="57"/>
  <c r="I6" i="57"/>
  <c r="E6" i="57"/>
  <c r="E5" i="57"/>
  <c r="I5" i="57" s="1"/>
  <c r="E4" i="57"/>
  <c r="I4" i="57" s="1"/>
  <c r="E3" i="57"/>
  <c r="G9" i="56"/>
  <c r="H9" i="56" s="1"/>
  <c r="G8" i="56"/>
  <c r="H8" i="56" s="1"/>
  <c r="G7" i="56"/>
  <c r="H7" i="56" s="1"/>
  <c r="G6" i="56"/>
  <c r="H6" i="56" s="1"/>
  <c r="G5" i="56"/>
  <c r="H5" i="56" s="1"/>
  <c r="G4" i="56"/>
  <c r="H4" i="56" s="1"/>
  <c r="H10" i="56"/>
  <c r="H11" i="56" s="1"/>
  <c r="B19" i="53" s="1"/>
  <c r="B44" i="53" s="1"/>
  <c r="F4" i="55"/>
  <c r="J4" i="55" s="1"/>
  <c r="D5" i="55"/>
  <c r="D4" i="55"/>
  <c r="F3" i="55"/>
  <c r="J3" i="55" s="1"/>
  <c r="B20" i="54"/>
  <c r="B13" i="54"/>
  <c r="B26" i="53"/>
  <c r="B24" i="53"/>
  <c r="B20" i="53"/>
  <c r="D24" i="60" l="1"/>
  <c r="C15" i="60"/>
  <c r="D18" i="60"/>
  <c r="H42" i="60"/>
  <c r="H91" i="60"/>
  <c r="G17" i="60"/>
  <c r="G46" i="60"/>
  <c r="G45" i="60"/>
  <c r="G44" i="60"/>
  <c r="F41" i="60"/>
  <c r="E40" i="60" s="1"/>
  <c r="E48" i="60"/>
  <c r="E47" i="60" s="1"/>
  <c r="D35" i="60"/>
  <c r="C31" i="60"/>
  <c r="C34" i="60" s="1"/>
  <c r="D36" i="60"/>
  <c r="D33" i="60"/>
  <c r="D38" i="60" s="1"/>
  <c r="F49" i="60"/>
  <c r="F32" i="60" s="1"/>
  <c r="F20" i="60"/>
  <c r="E16" i="60"/>
  <c r="F19" i="60"/>
  <c r="S52" i="60"/>
  <c r="R53" i="60"/>
  <c r="F120" i="61"/>
  <c r="F74" i="61"/>
  <c r="F123" i="61"/>
  <c r="F128" i="61" s="1"/>
  <c r="S96" i="61"/>
  <c r="T1" i="61"/>
  <c r="T57" i="61"/>
  <c r="S58" i="61"/>
  <c r="W42" i="61"/>
  <c r="V43" i="61"/>
  <c r="AP32" i="61"/>
  <c r="I1" i="60"/>
  <c r="M27" i="60"/>
  <c r="R37" i="60"/>
  <c r="I20" i="57"/>
  <c r="I28" i="57" s="1"/>
  <c r="E28" i="57"/>
  <c r="F5" i="55"/>
  <c r="J5" i="55" s="1"/>
  <c r="B6" i="54" s="1"/>
  <c r="B28" i="53"/>
  <c r="B29" i="53"/>
  <c r="B13" i="53"/>
  <c r="B30" i="53"/>
  <c r="B21" i="53"/>
  <c r="B27" i="53" s="1"/>
  <c r="D15" i="60" l="1"/>
  <c r="E18" i="60"/>
  <c r="E24" i="60"/>
  <c r="H17" i="60"/>
  <c r="H46" i="60"/>
  <c r="H45" i="60"/>
  <c r="H44" i="60"/>
  <c r="G41" i="60"/>
  <c r="F40" i="60" s="1"/>
  <c r="E35" i="60"/>
  <c r="E33" i="60"/>
  <c r="E38" i="60" s="1"/>
  <c r="E36" i="60"/>
  <c r="D31" i="60"/>
  <c r="G49" i="60"/>
  <c r="G32" i="60" s="1"/>
  <c r="G20" i="60"/>
  <c r="F16" i="60"/>
  <c r="G19" i="60"/>
  <c r="I42" i="60"/>
  <c r="I91" i="60"/>
  <c r="T52" i="60"/>
  <c r="S53" i="60"/>
  <c r="F48" i="60"/>
  <c r="F47" i="60" s="1"/>
  <c r="E73" i="61"/>
  <c r="F76" i="61"/>
  <c r="F89" i="61"/>
  <c r="F79" i="61"/>
  <c r="F77" i="61"/>
  <c r="F105" i="61"/>
  <c r="F106" i="61" s="1"/>
  <c r="X42" i="61"/>
  <c r="W43" i="61"/>
  <c r="U57" i="61"/>
  <c r="T58" i="61"/>
  <c r="F126" i="61"/>
  <c r="F122" i="61"/>
  <c r="F125" i="61"/>
  <c r="F132" i="61" s="1"/>
  <c r="T96" i="61"/>
  <c r="U1" i="61"/>
  <c r="AQ32" i="61"/>
  <c r="J1" i="60"/>
  <c r="B14" i="53"/>
  <c r="S37" i="60"/>
  <c r="N27" i="60"/>
  <c r="U52" i="60" l="1"/>
  <c r="T53" i="60"/>
  <c r="E15" i="60"/>
  <c r="F18" i="60"/>
  <c r="F36" i="60"/>
  <c r="E31" i="60"/>
  <c r="F35" i="60"/>
  <c r="F33" i="60"/>
  <c r="F38" i="60" s="1"/>
  <c r="I17" i="60"/>
  <c r="H41" i="60"/>
  <c r="G40" i="60" s="1"/>
  <c r="I45" i="60"/>
  <c r="I46" i="60"/>
  <c r="I44" i="60"/>
  <c r="G48" i="60"/>
  <c r="G47" i="60" s="1"/>
  <c r="J42" i="60"/>
  <c r="J91" i="60"/>
  <c r="D34" i="60"/>
  <c r="C30" i="60"/>
  <c r="H49" i="60"/>
  <c r="H32" i="60" s="1"/>
  <c r="H19" i="60"/>
  <c r="G16" i="60"/>
  <c r="H20" i="60"/>
  <c r="V1" i="61"/>
  <c r="U96" i="61"/>
  <c r="F92" i="61"/>
  <c r="F93" i="61"/>
  <c r="F158" i="61" s="1"/>
  <c r="F90" i="61"/>
  <c r="E88" i="61"/>
  <c r="AR32" i="61"/>
  <c r="E81" i="61"/>
  <c r="E75" i="61"/>
  <c r="D72" i="61"/>
  <c r="V57" i="61"/>
  <c r="U58" i="61"/>
  <c r="Y42" i="61"/>
  <c r="X43" i="61"/>
  <c r="F109" i="61"/>
  <c r="F107" i="61"/>
  <c r="K1" i="60"/>
  <c r="E50" i="60"/>
  <c r="D50" i="60"/>
  <c r="F50" i="60"/>
  <c r="C50" i="60"/>
  <c r="C122" i="60" s="1"/>
  <c r="T37" i="60"/>
  <c r="O27" i="60"/>
  <c r="H48" i="60" l="1"/>
  <c r="F15" i="60"/>
  <c r="G18" i="60"/>
  <c r="G33" i="60"/>
  <c r="G38" i="60" s="1"/>
  <c r="F31" i="60"/>
  <c r="G36" i="60"/>
  <c r="G35" i="60"/>
  <c r="D30" i="60"/>
  <c r="E34" i="60"/>
  <c r="J17" i="60"/>
  <c r="I41" i="60"/>
  <c r="H40" i="60" s="1"/>
  <c r="J45" i="60"/>
  <c r="J46" i="60"/>
  <c r="J44" i="60"/>
  <c r="G50" i="60"/>
  <c r="K42" i="60"/>
  <c r="K91" i="60"/>
  <c r="I49" i="60"/>
  <c r="I32" i="60" s="1"/>
  <c r="H16" i="60"/>
  <c r="I19" i="60"/>
  <c r="I20" i="60"/>
  <c r="V52" i="60"/>
  <c r="U53" i="60"/>
  <c r="Z42" i="61"/>
  <c r="Y43" i="61"/>
  <c r="AS32" i="61"/>
  <c r="E108" i="61"/>
  <c r="F111" i="61"/>
  <c r="G110" i="61"/>
  <c r="W57" i="61"/>
  <c r="V58" i="61"/>
  <c r="E91" i="61"/>
  <c r="D87" i="61"/>
  <c r="F95" i="61"/>
  <c r="F99" i="61"/>
  <c r="F100" i="61" s="1"/>
  <c r="V96" i="61"/>
  <c r="W1" i="61"/>
  <c r="L1" i="60"/>
  <c r="P27" i="60"/>
  <c r="U37" i="60"/>
  <c r="B32" i="19"/>
  <c r="D8" i="19"/>
  <c r="F34" i="60" l="1"/>
  <c r="E30" i="60"/>
  <c r="K17" i="60"/>
  <c r="K46" i="60"/>
  <c r="K45" i="60"/>
  <c r="K44" i="60"/>
  <c r="J41" i="60"/>
  <c r="I40" i="60" s="1"/>
  <c r="G15" i="60"/>
  <c r="H18" i="60"/>
  <c r="H50" i="60"/>
  <c r="H47" i="60"/>
  <c r="L42" i="60"/>
  <c r="L91" i="60"/>
  <c r="W52" i="60"/>
  <c r="V53" i="60"/>
  <c r="I48" i="60"/>
  <c r="J49" i="60"/>
  <c r="J32" i="60" s="1"/>
  <c r="J20" i="60"/>
  <c r="J19" i="60"/>
  <c r="I16" i="60"/>
  <c r="H35" i="60"/>
  <c r="G31" i="60"/>
  <c r="H36" i="60"/>
  <c r="H33" i="60"/>
  <c r="H38" i="60" s="1"/>
  <c r="G129" i="61"/>
  <c r="E130" i="61" s="1"/>
  <c r="G118" i="61"/>
  <c r="G113" i="61"/>
  <c r="G117" i="61" s="1"/>
  <c r="G119" i="61"/>
  <c r="G114" i="61"/>
  <c r="G115" i="61" s="1"/>
  <c r="G112" i="61"/>
  <c r="X57" i="61"/>
  <c r="W58" i="61"/>
  <c r="AT32" i="61"/>
  <c r="X1" i="61"/>
  <c r="W96" i="61"/>
  <c r="AA42" i="61"/>
  <c r="Z43" i="61"/>
  <c r="M1" i="60"/>
  <c r="C100" i="60"/>
  <c r="V37" i="60"/>
  <c r="Q27" i="60"/>
  <c r="D19" i="19"/>
  <c r="X52" i="60" l="1"/>
  <c r="W53" i="60"/>
  <c r="H15" i="60"/>
  <c r="I18" i="60"/>
  <c r="I36" i="60"/>
  <c r="I35" i="60"/>
  <c r="I33" i="60"/>
  <c r="I38" i="60" s="1"/>
  <c r="H31" i="60"/>
  <c r="L17" i="60"/>
  <c r="L46" i="60"/>
  <c r="L45" i="60"/>
  <c r="L44" i="60"/>
  <c r="K41" i="60"/>
  <c r="J40" i="60" s="1"/>
  <c r="J48" i="60"/>
  <c r="I47" i="60"/>
  <c r="I50" i="60"/>
  <c r="M42" i="60"/>
  <c r="M91" i="60"/>
  <c r="F30" i="60"/>
  <c r="G34" i="60"/>
  <c r="K49" i="60"/>
  <c r="K32" i="60" s="1"/>
  <c r="K20" i="60"/>
  <c r="J16" i="60"/>
  <c r="K19" i="60"/>
  <c r="AB42" i="61"/>
  <c r="AA43" i="61"/>
  <c r="G123" i="61"/>
  <c r="G128" i="61" s="1"/>
  <c r="G120" i="61"/>
  <c r="G74" i="61"/>
  <c r="Y57" i="61"/>
  <c r="X58" i="61"/>
  <c r="AU32" i="61"/>
  <c r="X96" i="61"/>
  <c r="Y1" i="61"/>
  <c r="N1" i="60"/>
  <c r="C101" i="60"/>
  <c r="C103" i="60"/>
  <c r="W37" i="60"/>
  <c r="R27" i="60"/>
  <c r="K48" i="60" l="1"/>
  <c r="M17" i="60"/>
  <c r="M46" i="60"/>
  <c r="M44" i="60"/>
  <c r="L41" i="60"/>
  <c r="K40" i="60" s="1"/>
  <c r="M45" i="60"/>
  <c r="N42" i="60"/>
  <c r="N91" i="60"/>
  <c r="J18" i="60"/>
  <c r="I15" i="60"/>
  <c r="J36" i="60"/>
  <c r="J35" i="60"/>
  <c r="J33" i="60"/>
  <c r="J38" i="60" s="1"/>
  <c r="I31" i="60"/>
  <c r="H34" i="60"/>
  <c r="G30" i="60"/>
  <c r="J47" i="60"/>
  <c r="J50" i="60"/>
  <c r="L49" i="60"/>
  <c r="L32" i="60" s="1"/>
  <c r="L19" i="60"/>
  <c r="L20" i="60"/>
  <c r="K16" i="60"/>
  <c r="Y52" i="60"/>
  <c r="X53" i="60"/>
  <c r="G126" i="61"/>
  <c r="G122" i="61"/>
  <c r="G125" i="61"/>
  <c r="G132" i="61" s="1"/>
  <c r="Y96" i="61"/>
  <c r="Z1" i="61"/>
  <c r="AV32" i="61"/>
  <c r="Z57" i="61"/>
  <c r="Y58" i="61"/>
  <c r="G77" i="61"/>
  <c r="G89" i="61"/>
  <c r="G79" i="61"/>
  <c r="G76" i="61"/>
  <c r="F73" i="61"/>
  <c r="G105" i="61"/>
  <c r="G106" i="61" s="1"/>
  <c r="AC42" i="61"/>
  <c r="AB43" i="61"/>
  <c r="O1" i="60"/>
  <c r="D104" i="60"/>
  <c r="C105" i="60"/>
  <c r="X37" i="60"/>
  <c r="S27" i="60"/>
  <c r="N17" i="60" l="1"/>
  <c r="M41" i="60"/>
  <c r="L40" i="60" s="1"/>
  <c r="N46" i="60"/>
  <c r="N44" i="60"/>
  <c r="N45" i="60"/>
  <c r="M156" i="60"/>
  <c r="M49" i="60"/>
  <c r="M32" i="60" s="1"/>
  <c r="M20" i="60"/>
  <c r="M19" i="60"/>
  <c r="L16" i="60"/>
  <c r="Z52" i="60"/>
  <c r="Y53" i="60"/>
  <c r="L48" i="60"/>
  <c r="K47" i="60"/>
  <c r="K50" i="60"/>
  <c r="O42" i="60"/>
  <c r="O91" i="60"/>
  <c r="K18" i="60"/>
  <c r="J15" i="60"/>
  <c r="I34" i="60"/>
  <c r="H30" i="60"/>
  <c r="K33" i="60"/>
  <c r="K38" i="60" s="1"/>
  <c r="J31" i="60"/>
  <c r="K35" i="60"/>
  <c r="K36" i="60"/>
  <c r="G109" i="61"/>
  <c r="G107" i="61"/>
  <c r="G92" i="61"/>
  <c r="G90" i="61"/>
  <c r="G93" i="61"/>
  <c r="G158" i="61" s="1"/>
  <c r="F88" i="61"/>
  <c r="AA57" i="61"/>
  <c r="Z58" i="61"/>
  <c r="F81" i="61"/>
  <c r="E72" i="61"/>
  <c r="F75" i="61"/>
  <c r="AW32" i="61"/>
  <c r="Z96" i="61"/>
  <c r="AA1" i="61"/>
  <c r="AD42" i="61"/>
  <c r="AC43" i="61"/>
  <c r="P1" i="60"/>
  <c r="D106" i="60"/>
  <c r="D108" i="60"/>
  <c r="D109" i="60" s="1"/>
  <c r="D112" i="60"/>
  <c r="D117" i="60" s="1"/>
  <c r="D122" i="60" s="1"/>
  <c r="D107" i="60"/>
  <c r="D111" i="60" s="1"/>
  <c r="D113" i="60"/>
  <c r="D123" i="60"/>
  <c r="Y37" i="60"/>
  <c r="T27" i="60"/>
  <c r="H54" i="33"/>
  <c r="AA52" i="60" l="1"/>
  <c r="Z53" i="60"/>
  <c r="M48" i="60"/>
  <c r="L18" i="60"/>
  <c r="K15" i="60"/>
  <c r="N156" i="60"/>
  <c r="O17" i="60"/>
  <c r="O46" i="60"/>
  <c r="O45" i="60"/>
  <c r="O44" i="60"/>
  <c r="N41" i="60"/>
  <c r="M40" i="60" s="1"/>
  <c r="L35" i="60"/>
  <c r="K31" i="60"/>
  <c r="L33" i="60"/>
  <c r="L38" i="60" s="1"/>
  <c r="L36" i="60"/>
  <c r="P42" i="60"/>
  <c r="P91" i="60"/>
  <c r="L50" i="60"/>
  <c r="L47" i="60"/>
  <c r="I30" i="60"/>
  <c r="J34" i="60"/>
  <c r="N49" i="60"/>
  <c r="N32" i="60" s="1"/>
  <c r="M16" i="60"/>
  <c r="N19" i="60"/>
  <c r="N20" i="60"/>
  <c r="AB57" i="61"/>
  <c r="AA58" i="61"/>
  <c r="AE42" i="61"/>
  <c r="AD43" i="61"/>
  <c r="AX32" i="61"/>
  <c r="F91" i="61"/>
  <c r="E87" i="61"/>
  <c r="AA96" i="61"/>
  <c r="AB1" i="61"/>
  <c r="G95" i="61"/>
  <c r="G99" i="61"/>
  <c r="G100" i="61" s="1"/>
  <c r="G111" i="61"/>
  <c r="F108" i="61"/>
  <c r="H110" i="61"/>
  <c r="Q1" i="60"/>
  <c r="D69" i="60"/>
  <c r="D99" i="60" s="1"/>
  <c r="D114" i="60"/>
  <c r="D119" i="60" s="1"/>
  <c r="Z37" i="60"/>
  <c r="U27" i="60"/>
  <c r="M47" i="60" l="1"/>
  <c r="M50" i="60"/>
  <c r="M36" i="60"/>
  <c r="M35" i="60"/>
  <c r="M33" i="60"/>
  <c r="M38" i="60" s="1"/>
  <c r="L31" i="60"/>
  <c r="Q42" i="60"/>
  <c r="Q91" i="60"/>
  <c r="P17" i="60"/>
  <c r="P46" i="60"/>
  <c r="P45" i="60"/>
  <c r="P44" i="60"/>
  <c r="O41" i="60"/>
  <c r="N40" i="60" s="1"/>
  <c r="O156" i="60"/>
  <c r="N48" i="60"/>
  <c r="K34" i="60"/>
  <c r="J30" i="60"/>
  <c r="L15" i="60"/>
  <c r="M18" i="60"/>
  <c r="O49" i="60"/>
  <c r="O32" i="60" s="1"/>
  <c r="O20" i="60"/>
  <c r="N16" i="60"/>
  <c r="O19" i="60"/>
  <c r="AB52" i="60"/>
  <c r="AA53" i="60"/>
  <c r="H129" i="61"/>
  <c r="F130" i="61" s="1"/>
  <c r="H119" i="61"/>
  <c r="H113" i="61"/>
  <c r="H117" i="61" s="1"/>
  <c r="H112" i="61"/>
  <c r="H114" i="61"/>
  <c r="H115" i="61" s="1"/>
  <c r="H118" i="61"/>
  <c r="AB96" i="61"/>
  <c r="AC1" i="61"/>
  <c r="AY32" i="61"/>
  <c r="AC57" i="61"/>
  <c r="AB58" i="61"/>
  <c r="AF42" i="61"/>
  <c r="AE43" i="61"/>
  <c r="R1" i="60"/>
  <c r="D126" i="60"/>
  <c r="D120" i="60"/>
  <c r="D116" i="60"/>
  <c r="D100" i="60"/>
  <c r="D84" i="60"/>
  <c r="C68" i="60"/>
  <c r="C76" i="60" s="1"/>
  <c r="D71" i="60"/>
  <c r="D74" i="60"/>
  <c r="D72" i="60"/>
  <c r="V27" i="60"/>
  <c r="AA37" i="60"/>
  <c r="M15" i="60" l="1"/>
  <c r="N18" i="60"/>
  <c r="N36" i="60"/>
  <c r="M31" i="60"/>
  <c r="N35" i="60"/>
  <c r="N33" i="60"/>
  <c r="N38" i="60" s="1"/>
  <c r="Q17" i="60"/>
  <c r="P41" i="60"/>
  <c r="O40" i="60" s="1"/>
  <c r="Q45" i="60"/>
  <c r="Q46" i="60"/>
  <c r="Q44" i="60"/>
  <c r="AC52" i="60"/>
  <c r="AB53" i="60"/>
  <c r="O48" i="60"/>
  <c r="P156" i="60"/>
  <c r="L34" i="60"/>
  <c r="K30" i="60"/>
  <c r="R42" i="60"/>
  <c r="R91" i="60"/>
  <c r="N47" i="60"/>
  <c r="N50" i="60"/>
  <c r="P49" i="60"/>
  <c r="P32" i="60" s="1"/>
  <c r="P19" i="60"/>
  <c r="O16" i="60"/>
  <c r="P20" i="60"/>
  <c r="H120" i="61"/>
  <c r="H123" i="61"/>
  <c r="H128" i="61" s="1"/>
  <c r="H74" i="61"/>
  <c r="AG42" i="61"/>
  <c r="AF43" i="61"/>
  <c r="AD57" i="61"/>
  <c r="AC58" i="61"/>
  <c r="AD1" i="61"/>
  <c r="AC96" i="61"/>
  <c r="AZ32" i="61"/>
  <c r="S1" i="60"/>
  <c r="D85" i="60"/>
  <c r="D88" i="60"/>
  <c r="D152" i="60" s="1"/>
  <c r="C83" i="60"/>
  <c r="C86" i="60" s="1"/>
  <c r="D87" i="60"/>
  <c r="D103" i="60"/>
  <c r="D101" i="60"/>
  <c r="C70" i="60"/>
  <c r="W27" i="60"/>
  <c r="AB37" i="60"/>
  <c r="S42" i="60" l="1"/>
  <c r="S91" i="60"/>
  <c r="O36" i="60"/>
  <c r="O35" i="60"/>
  <c r="O33" i="60"/>
  <c r="O38" i="60" s="1"/>
  <c r="N31" i="60"/>
  <c r="Q156" i="60"/>
  <c r="O47" i="60"/>
  <c r="O50" i="60"/>
  <c r="Q49" i="60"/>
  <c r="Q32" i="60" s="1"/>
  <c r="P16" i="60"/>
  <c r="Q20" i="60"/>
  <c r="Q19" i="60"/>
  <c r="O18" i="60"/>
  <c r="N15" i="60"/>
  <c r="P48" i="60"/>
  <c r="R17" i="60"/>
  <c r="Q41" i="60"/>
  <c r="P40" i="60" s="1"/>
  <c r="R45" i="60"/>
  <c r="R46" i="60"/>
  <c r="R44" i="60"/>
  <c r="AD52" i="60"/>
  <c r="AC53" i="60"/>
  <c r="M34" i="60"/>
  <c r="L30" i="60"/>
  <c r="H89" i="61"/>
  <c r="H76" i="61"/>
  <c r="H77" i="61"/>
  <c r="G73" i="61"/>
  <c r="H105" i="61"/>
  <c r="H106" i="61" s="1"/>
  <c r="AE57" i="61"/>
  <c r="AD58" i="61"/>
  <c r="AD96" i="61"/>
  <c r="AE1" i="61"/>
  <c r="AG43" i="61"/>
  <c r="AH42" i="61"/>
  <c r="H122" i="61"/>
  <c r="H126" i="61"/>
  <c r="H125" i="61"/>
  <c r="H132" i="61" s="1"/>
  <c r="BA32" i="61"/>
  <c r="T1" i="60"/>
  <c r="C102" i="60"/>
  <c r="D105" i="60"/>
  <c r="E104" i="60"/>
  <c r="D90" i="60"/>
  <c r="D94" i="60"/>
  <c r="D95" i="60" s="1"/>
  <c r="D150" i="60"/>
  <c r="AC37" i="60"/>
  <c r="X27" i="60"/>
  <c r="R49" i="60" l="1"/>
  <c r="R32" i="60" s="1"/>
  <c r="Q16" i="60"/>
  <c r="R20" i="60"/>
  <c r="R19" i="60"/>
  <c r="O15" i="60"/>
  <c r="P18" i="60"/>
  <c r="P47" i="60"/>
  <c r="P50" i="60"/>
  <c r="Q48" i="60"/>
  <c r="P33" i="60"/>
  <c r="P38" i="60" s="1"/>
  <c r="P35" i="60"/>
  <c r="O31" i="60"/>
  <c r="P36" i="60"/>
  <c r="N34" i="60"/>
  <c r="M30" i="60"/>
  <c r="T42" i="60"/>
  <c r="T91" i="60"/>
  <c r="R156" i="60"/>
  <c r="AE52" i="60"/>
  <c r="AD53" i="60"/>
  <c r="S17" i="60"/>
  <c r="S46" i="60"/>
  <c r="S45" i="60"/>
  <c r="S44" i="60"/>
  <c r="R41" i="60"/>
  <c r="Q40" i="60" s="1"/>
  <c r="BB32" i="61"/>
  <c r="AI42" i="61"/>
  <c r="AH43" i="61"/>
  <c r="H109" i="61"/>
  <c r="H107" i="61"/>
  <c r="AF1" i="61"/>
  <c r="AE96" i="61"/>
  <c r="H90" i="61"/>
  <c r="H92" i="61"/>
  <c r="H93" i="61"/>
  <c r="H158" i="61" s="1"/>
  <c r="G88" i="61"/>
  <c r="AF57" i="61"/>
  <c r="AE58" i="61"/>
  <c r="G75" i="61"/>
  <c r="F72" i="61"/>
  <c r="U1" i="60"/>
  <c r="E107" i="60"/>
  <c r="E111" i="60" s="1"/>
  <c r="E113" i="60"/>
  <c r="E112" i="60"/>
  <c r="E117" i="60" s="1"/>
  <c r="E122" i="60" s="1"/>
  <c r="E108" i="60"/>
  <c r="E109" i="60" s="1"/>
  <c r="E123" i="60"/>
  <c r="C124" i="60" s="1"/>
  <c r="E106" i="60"/>
  <c r="Y27" i="60"/>
  <c r="AD37" i="60"/>
  <c r="Q47" i="60" l="1"/>
  <c r="Q50" i="60"/>
  <c r="AF52" i="60"/>
  <c r="AE53" i="60"/>
  <c r="T17" i="60"/>
  <c r="T46" i="60"/>
  <c r="T45" i="60"/>
  <c r="T44" i="60"/>
  <c r="S41" i="60"/>
  <c r="R40" i="60" s="1"/>
  <c r="N30" i="60"/>
  <c r="O34" i="60"/>
  <c r="P31" i="60"/>
  <c r="Q36" i="60"/>
  <c r="Q35" i="60"/>
  <c r="Q33" i="60"/>
  <c r="Q38" i="60" s="1"/>
  <c r="Q18" i="60"/>
  <c r="P15" i="60"/>
  <c r="U42" i="60"/>
  <c r="U91" i="60"/>
  <c r="S49" i="60"/>
  <c r="S32" i="60" s="1"/>
  <c r="S20" i="60"/>
  <c r="S19" i="60"/>
  <c r="R16" i="60"/>
  <c r="S156" i="60"/>
  <c r="R48" i="60"/>
  <c r="AG57" i="61"/>
  <c r="AF58" i="61"/>
  <c r="H95" i="61"/>
  <c r="H99" i="61"/>
  <c r="H100" i="61" s="1"/>
  <c r="AF96" i="61"/>
  <c r="AG1" i="61"/>
  <c r="G108" i="61"/>
  <c r="H111" i="61"/>
  <c r="I110" i="61"/>
  <c r="AJ42" i="61"/>
  <c r="AI43" i="61"/>
  <c r="F87" i="61"/>
  <c r="G91" i="61"/>
  <c r="BC32" i="61"/>
  <c r="V1" i="60"/>
  <c r="E114" i="60"/>
  <c r="E119" i="60" s="1"/>
  <c r="E69" i="60"/>
  <c r="AE37" i="60"/>
  <c r="Z27" i="60"/>
  <c r="V42" i="60" l="1"/>
  <c r="V91" i="60"/>
  <c r="U17" i="60"/>
  <c r="T41" i="60"/>
  <c r="S40" i="60" s="1"/>
  <c r="U46" i="60"/>
  <c r="U44" i="60"/>
  <c r="U45" i="60"/>
  <c r="AG52" i="60"/>
  <c r="AF53" i="60"/>
  <c r="R47" i="60"/>
  <c r="R50" i="60"/>
  <c r="R24" i="60"/>
  <c r="R18" i="60"/>
  <c r="Q15" i="60"/>
  <c r="P34" i="60"/>
  <c r="O30" i="60"/>
  <c r="R33" i="60"/>
  <c r="R38" i="60" s="1"/>
  <c r="R36" i="60"/>
  <c r="R35" i="60"/>
  <c r="Q31" i="60"/>
  <c r="T156" i="60"/>
  <c r="S48" i="60"/>
  <c r="T49" i="60"/>
  <c r="T32" i="60" s="1"/>
  <c r="T19" i="60"/>
  <c r="S16" i="60"/>
  <c r="T20" i="60"/>
  <c r="E84" i="60"/>
  <c r="E99" i="60"/>
  <c r="E100" i="60" s="1"/>
  <c r="I129" i="61"/>
  <c r="G130" i="61" s="1"/>
  <c r="I119" i="61"/>
  <c r="I114" i="61"/>
  <c r="I115" i="61" s="1"/>
  <c r="I112" i="61"/>
  <c r="I113" i="61"/>
  <c r="I117" i="61" s="1"/>
  <c r="I118" i="61"/>
  <c r="BD32" i="61"/>
  <c r="AK42" i="61"/>
  <c r="AJ43" i="61"/>
  <c r="AH1" i="61"/>
  <c r="AG96" i="61"/>
  <c r="AH57" i="61"/>
  <c r="AG58" i="61"/>
  <c r="W1" i="60"/>
  <c r="E126" i="60"/>
  <c r="E120" i="60"/>
  <c r="E116" i="60"/>
  <c r="E74" i="60"/>
  <c r="D68" i="60"/>
  <c r="D76" i="60" s="1"/>
  <c r="E72" i="60"/>
  <c r="E71" i="60"/>
  <c r="AF37" i="60"/>
  <c r="AA27" i="60"/>
  <c r="W42" i="60" l="1"/>
  <c r="W91" i="60"/>
  <c r="Q34" i="60"/>
  <c r="P30" i="60"/>
  <c r="AH52" i="60"/>
  <c r="AG53" i="60"/>
  <c r="R15" i="60"/>
  <c r="S18" i="60"/>
  <c r="S24" i="60"/>
  <c r="S33" i="60"/>
  <c r="S38" i="60" s="1"/>
  <c r="S35" i="60"/>
  <c r="R31" i="60"/>
  <c r="S36" i="60"/>
  <c r="U49" i="60"/>
  <c r="U32" i="60" s="1"/>
  <c r="U20" i="60"/>
  <c r="U19" i="60"/>
  <c r="T16" i="60"/>
  <c r="S47" i="60"/>
  <c r="S50" i="60"/>
  <c r="T48" i="60"/>
  <c r="U156" i="60"/>
  <c r="V17" i="60"/>
  <c r="U41" i="60"/>
  <c r="T40" i="60" s="1"/>
  <c r="V46" i="60"/>
  <c r="V44" i="60"/>
  <c r="V45" i="60"/>
  <c r="AI57" i="61"/>
  <c r="AH58" i="61"/>
  <c r="AL42" i="61"/>
  <c r="AK43" i="61"/>
  <c r="I123" i="61"/>
  <c r="I128" i="61" s="1"/>
  <c r="I74" i="61"/>
  <c r="I120" i="61"/>
  <c r="AH96" i="61"/>
  <c r="AI1" i="61"/>
  <c r="BE32" i="61"/>
  <c r="X1" i="60"/>
  <c r="E87" i="60"/>
  <c r="D83" i="60"/>
  <c r="E88" i="60"/>
  <c r="E152" i="60" s="1"/>
  <c r="E85" i="60"/>
  <c r="E103" i="60"/>
  <c r="E101" i="60"/>
  <c r="D70" i="60"/>
  <c r="C67" i="60"/>
  <c r="AG37" i="60"/>
  <c r="AB27" i="60"/>
  <c r="H17" i="33"/>
  <c r="V49" i="60" l="1"/>
  <c r="V32" i="60" s="1"/>
  <c r="U16" i="60"/>
  <c r="V19" i="60"/>
  <c r="V20" i="60"/>
  <c r="Q30" i="60"/>
  <c r="R34" i="60"/>
  <c r="X42" i="60"/>
  <c r="X91" i="60"/>
  <c r="V156" i="60"/>
  <c r="U48" i="60"/>
  <c r="S31" i="60"/>
  <c r="T33" i="60"/>
  <c r="T38" i="60" s="1"/>
  <c r="T36" i="60"/>
  <c r="T35" i="60"/>
  <c r="T47" i="60"/>
  <c r="T50" i="60"/>
  <c r="T24" i="60"/>
  <c r="T18" i="60"/>
  <c r="S15" i="60"/>
  <c r="AI52" i="60"/>
  <c r="AH53" i="60"/>
  <c r="W17" i="60"/>
  <c r="W46" i="60"/>
  <c r="W45" i="60"/>
  <c r="W44" i="60"/>
  <c r="V41" i="60"/>
  <c r="U40" i="60" s="1"/>
  <c r="BF32" i="61"/>
  <c r="I122" i="61"/>
  <c r="I126" i="61"/>
  <c r="I125" i="61"/>
  <c r="I132" i="61" s="1"/>
  <c r="AM42" i="61"/>
  <c r="AL43" i="61"/>
  <c r="I89" i="61"/>
  <c r="I76" i="61"/>
  <c r="I77" i="61"/>
  <c r="H73" i="61"/>
  <c r="I105" i="61"/>
  <c r="I106" i="61" s="1"/>
  <c r="AI96" i="61"/>
  <c r="AJ1" i="61"/>
  <c r="AJ57" i="61"/>
  <c r="AI58" i="61"/>
  <c r="Y1" i="60"/>
  <c r="E150" i="60"/>
  <c r="D86" i="60"/>
  <c r="C82" i="60"/>
  <c r="E105" i="60"/>
  <c r="D102" i="60"/>
  <c r="F104" i="60"/>
  <c r="E94" i="60"/>
  <c r="E95" i="60" s="1"/>
  <c r="E90" i="60"/>
  <c r="AH37" i="60"/>
  <c r="AC27" i="60"/>
  <c r="B51" i="27"/>
  <c r="B59" i="27"/>
  <c r="B61" i="27" s="1"/>
  <c r="B57" i="27"/>
  <c r="B60" i="27"/>
  <c r="B13" i="38"/>
  <c r="W49" i="60" l="1"/>
  <c r="W32" i="60" s="1"/>
  <c r="W20" i="60"/>
  <c r="W19" i="60"/>
  <c r="V16" i="60"/>
  <c r="U35" i="60"/>
  <c r="U33" i="60"/>
  <c r="U38" i="60" s="1"/>
  <c r="U36" i="60"/>
  <c r="T31" i="60"/>
  <c r="X17" i="60"/>
  <c r="X46" i="60"/>
  <c r="X45" i="60"/>
  <c r="X44" i="60"/>
  <c r="W41" i="60"/>
  <c r="V40" i="60" s="1"/>
  <c r="AJ52" i="60"/>
  <c r="AI53" i="60"/>
  <c r="T15" i="60"/>
  <c r="U18" i="60"/>
  <c r="U24" i="60"/>
  <c r="Y42" i="60"/>
  <c r="Y91" i="60"/>
  <c r="U47" i="60"/>
  <c r="U50" i="60"/>
  <c r="W156" i="60"/>
  <c r="R30" i="60"/>
  <c r="S34" i="60"/>
  <c r="V48" i="60"/>
  <c r="G72" i="61"/>
  <c r="H75" i="61"/>
  <c r="AN42" i="61"/>
  <c r="AM43" i="61"/>
  <c r="AJ96" i="61"/>
  <c r="AK1" i="61"/>
  <c r="I109" i="61"/>
  <c r="I107" i="61"/>
  <c r="I93" i="61"/>
  <c r="I158" i="61" s="1"/>
  <c r="H88" i="61"/>
  <c r="I92" i="61"/>
  <c r="I90" i="61"/>
  <c r="AK57" i="61"/>
  <c r="AJ58" i="61"/>
  <c r="BG32" i="61"/>
  <c r="Z1" i="60"/>
  <c r="F106" i="60"/>
  <c r="F123" i="60"/>
  <c r="D124" i="60" s="1"/>
  <c r="F113" i="60"/>
  <c r="F107" i="60"/>
  <c r="F111" i="60" s="1"/>
  <c r="F108" i="60"/>
  <c r="F109" i="60" s="1"/>
  <c r="F112" i="60"/>
  <c r="F117" i="60" s="1"/>
  <c r="F122" i="60" s="1"/>
  <c r="AI37" i="60"/>
  <c r="AD27" i="60"/>
  <c r="B62" i="27"/>
  <c r="C54" i="33"/>
  <c r="B54" i="33"/>
  <c r="B20" i="19"/>
  <c r="Z42" i="60" l="1"/>
  <c r="Z91" i="60"/>
  <c r="V47" i="60"/>
  <c r="V50" i="60"/>
  <c r="T34" i="60"/>
  <c r="S30" i="60"/>
  <c r="V24" i="60"/>
  <c r="U15" i="60"/>
  <c r="V18" i="60"/>
  <c r="V35" i="60"/>
  <c r="U31" i="60"/>
  <c r="V33" i="60"/>
  <c r="V38" i="60" s="1"/>
  <c r="V36" i="60"/>
  <c r="Y17" i="60"/>
  <c r="X41" i="60"/>
  <c r="W40" i="60" s="1"/>
  <c r="Y45" i="60"/>
  <c r="Y46" i="60"/>
  <c r="Y44" i="60"/>
  <c r="AK52" i="60"/>
  <c r="AJ53" i="60"/>
  <c r="X156" i="60"/>
  <c r="X49" i="60"/>
  <c r="X32" i="60" s="1"/>
  <c r="X19" i="60"/>
  <c r="X20" i="60"/>
  <c r="W16" i="60"/>
  <c r="W48" i="60"/>
  <c r="I95" i="61"/>
  <c r="I99" i="61"/>
  <c r="I100" i="61" s="1"/>
  <c r="BH32" i="61"/>
  <c r="H91" i="61"/>
  <c r="G87" i="61"/>
  <c r="H108" i="61"/>
  <c r="I111" i="61"/>
  <c r="J110" i="61"/>
  <c r="AL57" i="61"/>
  <c r="AK58" i="61"/>
  <c r="AL1" i="61"/>
  <c r="AK96" i="61"/>
  <c r="AN43" i="61"/>
  <c r="AO42" i="61"/>
  <c r="AA1" i="60"/>
  <c r="F114" i="60"/>
  <c r="F119" i="60" s="1"/>
  <c r="F69" i="60"/>
  <c r="AE27" i="60"/>
  <c r="AJ37" i="60"/>
  <c r="W47" i="60" l="1"/>
  <c r="W50" i="60"/>
  <c r="AA42" i="60"/>
  <c r="AA91" i="60"/>
  <c r="W33" i="60"/>
  <c r="W38" i="60" s="1"/>
  <c r="V31" i="60"/>
  <c r="W35" i="60"/>
  <c r="W36" i="60"/>
  <c r="X48" i="60"/>
  <c r="AL52" i="60"/>
  <c r="AK53" i="60"/>
  <c r="T30" i="60"/>
  <c r="U34" i="60"/>
  <c r="W24" i="60"/>
  <c r="V15" i="60"/>
  <c r="W18" i="60"/>
  <c r="Y49" i="60"/>
  <c r="Y32" i="60" s="1"/>
  <c r="Y19" i="60"/>
  <c r="X16" i="60"/>
  <c r="Y20" i="60"/>
  <c r="Y156" i="60"/>
  <c r="Z17" i="60"/>
  <c r="Y41" i="60"/>
  <c r="X40" i="60" s="1"/>
  <c r="Z45" i="60"/>
  <c r="Z46" i="60"/>
  <c r="Z44" i="60"/>
  <c r="F84" i="60"/>
  <c r="F99" i="60"/>
  <c r="F100" i="60" s="1"/>
  <c r="AL96" i="61"/>
  <c r="AM1" i="61"/>
  <c r="AM57" i="61"/>
  <c r="AL58" i="61"/>
  <c r="AP42" i="61"/>
  <c r="AO43" i="61"/>
  <c r="J113" i="61"/>
  <c r="J117" i="61" s="1"/>
  <c r="J129" i="61"/>
  <c r="H130" i="61" s="1"/>
  <c r="J118" i="61"/>
  <c r="J114" i="61"/>
  <c r="J115" i="61" s="1"/>
  <c r="J112" i="61"/>
  <c r="J119" i="61"/>
  <c r="AB1" i="60"/>
  <c r="F126" i="60"/>
  <c r="F120" i="60"/>
  <c r="E68" i="60"/>
  <c r="E76" i="60" s="1"/>
  <c r="F71" i="60"/>
  <c r="F72" i="60"/>
  <c r="F74" i="60"/>
  <c r="F116" i="60"/>
  <c r="AK37" i="60"/>
  <c r="AF27" i="60"/>
  <c r="H21" i="6"/>
  <c r="Z49" i="60" l="1"/>
  <c r="Z32" i="60" s="1"/>
  <c r="Y16" i="60"/>
  <c r="Z19" i="60"/>
  <c r="Z20" i="60"/>
  <c r="AB42" i="60"/>
  <c r="AB91" i="60"/>
  <c r="Z156" i="60"/>
  <c r="AM52" i="60"/>
  <c r="AL53" i="60"/>
  <c r="AA17" i="60"/>
  <c r="AA46" i="60"/>
  <c r="AA45" i="60"/>
  <c r="AA44" i="60"/>
  <c r="Z41" i="60"/>
  <c r="Y40" i="60" s="1"/>
  <c r="Y48" i="60"/>
  <c r="X47" i="60"/>
  <c r="X50" i="60"/>
  <c r="V34" i="60"/>
  <c r="U30" i="60"/>
  <c r="X24" i="60"/>
  <c r="X18" i="60"/>
  <c r="W15" i="60"/>
  <c r="X36" i="60"/>
  <c r="X35" i="60"/>
  <c r="W31" i="60"/>
  <c r="X33" i="60"/>
  <c r="X38" i="60" s="1"/>
  <c r="J123" i="61"/>
  <c r="J128" i="61" s="1"/>
  <c r="J74" i="61"/>
  <c r="J120" i="61"/>
  <c r="AN57" i="61"/>
  <c r="AM58" i="61"/>
  <c r="AN1" i="61"/>
  <c r="AM96" i="61"/>
  <c r="AQ42" i="61"/>
  <c r="AP43" i="61"/>
  <c r="AC1" i="60"/>
  <c r="E83" i="60"/>
  <c r="F87" i="60"/>
  <c r="F85" i="60"/>
  <c r="F88" i="60"/>
  <c r="F152" i="60" s="1"/>
  <c r="F103" i="60"/>
  <c r="F101" i="60"/>
  <c r="D67" i="60"/>
  <c r="E70" i="60"/>
  <c r="AL37" i="60"/>
  <c r="AG27" i="60"/>
  <c r="Y33" i="60" l="1"/>
  <c r="Y38" i="60" s="1"/>
  <c r="X31" i="60"/>
  <c r="Y35" i="60"/>
  <c r="Y36" i="60"/>
  <c r="AA156" i="60"/>
  <c r="V30" i="60"/>
  <c r="W34" i="60"/>
  <c r="AA49" i="60"/>
  <c r="AA32" i="60" s="1"/>
  <c r="AA20" i="60"/>
  <c r="Z16" i="60"/>
  <c r="AA19" i="60"/>
  <c r="AC42" i="60"/>
  <c r="AC91" i="60"/>
  <c r="X15" i="60"/>
  <c r="Y24" i="60"/>
  <c r="Y18" i="60"/>
  <c r="Y47" i="60"/>
  <c r="Y50" i="60"/>
  <c r="AN52" i="60"/>
  <c r="AM53" i="60"/>
  <c r="AB17" i="60"/>
  <c r="AB46" i="60"/>
  <c r="AB45" i="60"/>
  <c r="AB44" i="60"/>
  <c r="AA41" i="60"/>
  <c r="Z40" i="60" s="1"/>
  <c r="Z48" i="60"/>
  <c r="AN96" i="61"/>
  <c r="AO1" i="61"/>
  <c r="AR42" i="61"/>
  <c r="AQ43" i="61"/>
  <c r="J126" i="61"/>
  <c r="J122" i="61"/>
  <c r="J125" i="61"/>
  <c r="J132" i="61" s="1"/>
  <c r="I73" i="61"/>
  <c r="J89" i="61"/>
  <c r="J76" i="61"/>
  <c r="J77" i="61"/>
  <c r="J105" i="61"/>
  <c r="J106" i="61" s="1"/>
  <c r="AO57" i="61"/>
  <c r="AN58" i="61"/>
  <c r="AD1" i="60"/>
  <c r="F150" i="60"/>
  <c r="F90" i="60"/>
  <c r="F94" i="60"/>
  <c r="F95" i="60" s="1"/>
  <c r="F105" i="60"/>
  <c r="E102" i="60"/>
  <c r="G104" i="60"/>
  <c r="D82" i="60"/>
  <c r="E86" i="60"/>
  <c r="AM37" i="60"/>
  <c r="AH27" i="60"/>
  <c r="AN53" i="60" l="1"/>
  <c r="AO52" i="60"/>
  <c r="AD42" i="60"/>
  <c r="AD91" i="60"/>
  <c r="Z35" i="60"/>
  <c r="Z36" i="60"/>
  <c r="Y31" i="60"/>
  <c r="Z33" i="60"/>
  <c r="Z38" i="60" s="1"/>
  <c r="AB156" i="60"/>
  <c r="Z24" i="60"/>
  <c r="Z18" i="60"/>
  <c r="Y15" i="60"/>
  <c r="AB49" i="60"/>
  <c r="AB32" i="60" s="1"/>
  <c r="AB19" i="60"/>
  <c r="AA16" i="60"/>
  <c r="AB20" i="60"/>
  <c r="X34" i="60"/>
  <c r="W30" i="60"/>
  <c r="Z47" i="60"/>
  <c r="Z50" i="60"/>
  <c r="AC17" i="60"/>
  <c r="AC46" i="60"/>
  <c r="AC44" i="60"/>
  <c r="AB41" i="60"/>
  <c r="AA40" i="60" s="1"/>
  <c r="AC45" i="60"/>
  <c r="AA48" i="60"/>
  <c r="H72" i="61"/>
  <c r="I75" i="61"/>
  <c r="J93" i="61"/>
  <c r="J158" i="61" s="1"/>
  <c r="J92" i="61"/>
  <c r="I88" i="61"/>
  <c r="J90" i="61"/>
  <c r="AO96" i="61"/>
  <c r="AP1" i="61"/>
  <c r="J109" i="61"/>
  <c r="J107" i="61"/>
  <c r="AP57" i="61"/>
  <c r="AO58" i="61"/>
  <c r="AS42" i="61"/>
  <c r="AR43" i="61"/>
  <c r="AE1" i="60"/>
  <c r="AN37" i="60"/>
  <c r="G113" i="60"/>
  <c r="G107" i="60"/>
  <c r="G111" i="60" s="1"/>
  <c r="G106" i="60"/>
  <c r="G112" i="60"/>
  <c r="G117" i="60" s="1"/>
  <c r="G122" i="60" s="1"/>
  <c r="G108" i="60"/>
  <c r="G109" i="60" s="1"/>
  <c r="G123" i="60"/>
  <c r="E124" i="60" s="1"/>
  <c r="AI27" i="60"/>
  <c r="AA18" i="60" l="1"/>
  <c r="AA24" i="60"/>
  <c r="Z15" i="60"/>
  <c r="AE42" i="60"/>
  <c r="AE91" i="60"/>
  <c r="AA33" i="60"/>
  <c r="AA38" i="60" s="1"/>
  <c r="Z31" i="60"/>
  <c r="AA36" i="60"/>
  <c r="AA35" i="60"/>
  <c r="AC156" i="60"/>
  <c r="Y34" i="60"/>
  <c r="X30" i="60"/>
  <c r="AD17" i="60"/>
  <c r="AC41" i="60"/>
  <c r="AB40" i="60" s="1"/>
  <c r="AD46" i="60"/>
  <c r="AD44" i="60"/>
  <c r="AD45" i="60"/>
  <c r="AC49" i="60"/>
  <c r="AC32" i="60" s="1"/>
  <c r="AC20" i="60"/>
  <c r="AC19" i="60"/>
  <c r="AB16" i="60"/>
  <c r="AB48" i="60"/>
  <c r="AO53" i="60"/>
  <c r="AP52" i="60"/>
  <c r="AA47" i="60"/>
  <c r="AA50" i="60"/>
  <c r="J111" i="61"/>
  <c r="I108" i="61"/>
  <c r="K110" i="61"/>
  <c r="J95" i="61"/>
  <c r="J99" i="61"/>
  <c r="J100" i="61" s="1"/>
  <c r="AP96" i="61"/>
  <c r="AQ1" i="61"/>
  <c r="AQ57" i="61"/>
  <c r="AP58" i="61"/>
  <c r="I91" i="61"/>
  <c r="H87" i="61"/>
  <c r="AS43" i="61"/>
  <c r="AT42" i="61"/>
  <c r="AF1" i="60"/>
  <c r="AO37" i="60"/>
  <c r="G114" i="60"/>
  <c r="G119" i="60" s="1"/>
  <c r="G69" i="60"/>
  <c r="AJ27" i="60"/>
  <c r="B8" i="38"/>
  <c r="B6" i="38"/>
  <c r="B11" i="37"/>
  <c r="B8" i="37"/>
  <c r="B10" i="37" s="1"/>
  <c r="B2" i="37"/>
  <c r="B14" i="37" s="1"/>
  <c r="AB47" i="60" l="1"/>
  <c r="AB50" i="60"/>
  <c r="AE17" i="60"/>
  <c r="AE46" i="60"/>
  <c r="AE45" i="60"/>
  <c r="AE44" i="60"/>
  <c r="AD41" i="60"/>
  <c r="AC40" i="60" s="1"/>
  <c r="AC48" i="60"/>
  <c r="Z34" i="60"/>
  <c r="Y30" i="60"/>
  <c r="AF42" i="60"/>
  <c r="AF91" i="60"/>
  <c r="AP53" i="60"/>
  <c r="AQ52" i="60"/>
  <c r="AB24" i="60"/>
  <c r="AB18" i="60"/>
  <c r="AA15" i="60"/>
  <c r="AD49" i="60"/>
  <c r="AD32" i="60" s="1"/>
  <c r="AC16" i="60"/>
  <c r="AD19" i="60"/>
  <c r="AD20" i="60"/>
  <c r="AD156" i="60"/>
  <c r="AA31" i="60"/>
  <c r="AB36" i="60"/>
  <c r="AB33" i="60"/>
  <c r="AB38" i="60" s="1"/>
  <c r="AB35" i="60"/>
  <c r="G84" i="60"/>
  <c r="G99" i="60"/>
  <c r="G100" i="60" s="1"/>
  <c r="AU42" i="61"/>
  <c r="AT43" i="61"/>
  <c r="K118" i="61"/>
  <c r="K113" i="61"/>
  <c r="K117" i="61" s="1"/>
  <c r="K129" i="61"/>
  <c r="I130" i="61" s="1"/>
  <c r="K114" i="61"/>
  <c r="K115" i="61" s="1"/>
  <c r="K112" i="61"/>
  <c r="K119" i="61"/>
  <c r="AR57" i="61"/>
  <c r="AQ58" i="61"/>
  <c r="AQ96" i="61"/>
  <c r="AR1" i="61"/>
  <c r="AG1" i="60"/>
  <c r="G126" i="60"/>
  <c r="G120" i="60"/>
  <c r="AP37" i="60"/>
  <c r="G72" i="60"/>
  <c r="F68" i="60"/>
  <c r="F76" i="60" s="1"/>
  <c r="G71" i="60"/>
  <c r="G116" i="60"/>
  <c r="AK27" i="60"/>
  <c r="B12" i="37"/>
  <c r="B13" i="37" s="1"/>
  <c r="B18" i="37"/>
  <c r="B11" i="38" s="1"/>
  <c r="B15" i="37"/>
  <c r="B17" i="37"/>
  <c r="B10" i="38" s="1"/>
  <c r="B16" i="37"/>
  <c r="B9" i="37"/>
  <c r="AB15" i="60" l="1"/>
  <c r="AC24" i="60"/>
  <c r="AC18" i="60"/>
  <c r="AF17" i="60"/>
  <c r="AF46" i="60"/>
  <c r="AF45" i="60"/>
  <c r="AF44" i="60"/>
  <c r="AE41" i="60"/>
  <c r="AD40" i="60" s="1"/>
  <c r="AC36" i="60"/>
  <c r="AC35" i="60"/>
  <c r="AC33" i="60"/>
  <c r="AC38" i="60" s="1"/>
  <c r="AB31" i="60"/>
  <c r="AE156" i="60"/>
  <c r="AG42" i="60"/>
  <c r="AG91" i="60"/>
  <c r="AD48" i="60"/>
  <c r="AQ53" i="60"/>
  <c r="AR52" i="60"/>
  <c r="AE49" i="60"/>
  <c r="AE32" i="60" s="1"/>
  <c r="AE20" i="60"/>
  <c r="AD16" i="60"/>
  <c r="AE19" i="60"/>
  <c r="Z30" i="60"/>
  <c r="AA34" i="60"/>
  <c r="AC47" i="60"/>
  <c r="AC50" i="60"/>
  <c r="AR96" i="61"/>
  <c r="AS1" i="61"/>
  <c r="AS57" i="61"/>
  <c r="AR58" i="61"/>
  <c r="K123" i="61"/>
  <c r="K128" i="61" s="1"/>
  <c r="K120" i="61"/>
  <c r="K74" i="61"/>
  <c r="AV42" i="61"/>
  <c r="AU43" i="61"/>
  <c r="AH1" i="60"/>
  <c r="AQ37" i="60"/>
  <c r="E67" i="60"/>
  <c r="F70" i="60"/>
  <c r="G88" i="60"/>
  <c r="G152" i="60" s="1"/>
  <c r="F83" i="60"/>
  <c r="G85" i="60"/>
  <c r="G87" i="60"/>
  <c r="G150" i="60"/>
  <c r="G103" i="60"/>
  <c r="G101" i="60"/>
  <c r="AL27" i="60"/>
  <c r="B9" i="38"/>
  <c r="B12" i="38" s="1"/>
  <c r="AD33" i="60" l="1"/>
  <c r="AD38" i="60" s="1"/>
  <c r="AD35" i="60"/>
  <c r="AC31" i="60"/>
  <c r="AD36" i="60"/>
  <c r="AR53" i="60"/>
  <c r="AS52" i="60"/>
  <c r="AB34" i="60"/>
  <c r="AA30" i="60"/>
  <c r="AF49" i="60"/>
  <c r="AF32" i="60" s="1"/>
  <c r="AF19" i="60"/>
  <c r="AF20" i="60"/>
  <c r="AE16" i="60"/>
  <c r="AD24" i="60"/>
  <c r="AD18" i="60"/>
  <c r="AC15" i="60"/>
  <c r="AG17" i="60"/>
  <c r="AG45" i="60"/>
  <c r="AF41" i="60"/>
  <c r="AE40" i="60" s="1"/>
  <c r="AG46" i="60"/>
  <c r="AG44" i="60"/>
  <c r="AH42" i="60"/>
  <c r="AH91" i="60"/>
  <c r="AD47" i="60"/>
  <c r="AD50" i="60"/>
  <c r="AE48" i="60"/>
  <c r="AF156" i="60"/>
  <c r="AT1" i="61"/>
  <c r="AS96" i="61"/>
  <c r="AW42" i="61"/>
  <c r="AV43" i="61"/>
  <c r="K77" i="61"/>
  <c r="K89" i="61"/>
  <c r="K76" i="61"/>
  <c r="J73" i="61"/>
  <c r="K105" i="61"/>
  <c r="K106" i="61" s="1"/>
  <c r="K126" i="61"/>
  <c r="K122" i="61"/>
  <c r="K125" i="61"/>
  <c r="K132" i="61" s="1"/>
  <c r="AT57" i="61"/>
  <c r="AS58" i="61"/>
  <c r="AI1" i="60"/>
  <c r="AR37" i="60"/>
  <c r="G105" i="60"/>
  <c r="F102" i="60"/>
  <c r="H104" i="60"/>
  <c r="F86" i="60"/>
  <c r="E82" i="60"/>
  <c r="G90" i="60"/>
  <c r="G94" i="60"/>
  <c r="G95" i="60" s="1"/>
  <c r="AM27" i="60"/>
  <c r="AG156" i="60" l="1"/>
  <c r="AC34" i="60"/>
  <c r="AB30" i="60"/>
  <c r="AE47" i="60"/>
  <c r="AE50" i="60"/>
  <c r="AG49" i="60"/>
  <c r="AG32" i="60" s="1"/>
  <c r="AG20" i="60"/>
  <c r="AG19" i="60"/>
  <c r="AF16" i="60"/>
  <c r="AD15" i="60"/>
  <c r="AE18" i="60"/>
  <c r="AE24" i="60"/>
  <c r="AI42" i="60"/>
  <c r="AI91" i="60"/>
  <c r="AS53" i="60"/>
  <c r="AT52" i="60"/>
  <c r="AE33" i="60"/>
  <c r="AE38" i="60" s="1"/>
  <c r="AD31" i="60"/>
  <c r="AE36" i="60"/>
  <c r="AE35" i="60"/>
  <c r="AH17" i="60"/>
  <c r="AG41" i="60"/>
  <c r="AF40" i="60" s="1"/>
  <c r="AH45" i="60"/>
  <c r="AH46" i="60"/>
  <c r="AH44" i="60"/>
  <c r="AF48" i="60"/>
  <c r="AU57" i="61"/>
  <c r="AT58" i="61"/>
  <c r="J75" i="61"/>
  <c r="I72" i="61"/>
  <c r="AT96" i="61"/>
  <c r="AU1" i="61"/>
  <c r="K109" i="61"/>
  <c r="K107" i="61"/>
  <c r="K92" i="61"/>
  <c r="K90" i="61"/>
  <c r="J88" i="61"/>
  <c r="K93" i="61"/>
  <c r="K158" i="61" s="1"/>
  <c r="AW43" i="61"/>
  <c r="AX42" i="61"/>
  <c r="AJ1" i="60"/>
  <c r="AN27" i="60"/>
  <c r="AS37" i="60"/>
  <c r="G74" i="60"/>
  <c r="H106" i="60"/>
  <c r="H107" i="60"/>
  <c r="H111" i="60" s="1"/>
  <c r="H123" i="60"/>
  <c r="F124" i="60" s="1"/>
  <c r="H113" i="60"/>
  <c r="H112" i="60"/>
  <c r="H117" i="60" s="1"/>
  <c r="H122" i="60" s="1"/>
  <c r="H108" i="60"/>
  <c r="H109" i="60" s="1"/>
  <c r="D27" i="33"/>
  <c r="D26" i="33"/>
  <c r="I26" i="33"/>
  <c r="C55" i="33"/>
  <c r="AF47" i="60" l="1"/>
  <c r="AF50" i="60"/>
  <c r="AJ42" i="60"/>
  <c r="AJ91" i="60"/>
  <c r="AF36" i="60"/>
  <c r="AF33" i="60"/>
  <c r="AF38" i="60" s="1"/>
  <c r="AF35" i="60"/>
  <c r="AE31" i="60"/>
  <c r="AD34" i="60"/>
  <c r="AC30" i="60"/>
  <c r="AG48" i="60"/>
  <c r="AH49" i="60"/>
  <c r="AH32" i="60" s="1"/>
  <c r="AG16" i="60"/>
  <c r="AH20" i="60"/>
  <c r="AH19" i="60"/>
  <c r="AI17" i="60"/>
  <c r="AI46" i="60"/>
  <c r="AI45" i="60"/>
  <c r="AI44" i="60"/>
  <c r="AH41" i="60"/>
  <c r="AG40" i="60" s="1"/>
  <c r="AE15" i="60"/>
  <c r="AF18" i="60"/>
  <c r="AF24" i="60"/>
  <c r="AH156" i="60"/>
  <c r="AT53" i="60"/>
  <c r="AU52" i="60"/>
  <c r="AY42" i="61"/>
  <c r="AX43" i="61"/>
  <c r="K95" i="61"/>
  <c r="K99" i="61"/>
  <c r="K100" i="61" s="1"/>
  <c r="AU96" i="61"/>
  <c r="AV1" i="61"/>
  <c r="J91" i="61"/>
  <c r="I87" i="61"/>
  <c r="K111" i="61"/>
  <c r="J108" i="61"/>
  <c r="L110" i="61"/>
  <c r="AV57" i="61"/>
  <c r="AU58" i="61"/>
  <c r="AK1" i="60"/>
  <c r="AT37" i="60"/>
  <c r="AO27" i="60"/>
  <c r="H69" i="60"/>
  <c r="H114" i="60"/>
  <c r="H119" i="60" s="1"/>
  <c r="C56" i="33"/>
  <c r="AD30" i="60" l="1"/>
  <c r="AE34" i="60"/>
  <c r="AF31" i="60"/>
  <c r="AG33" i="60"/>
  <c r="AG38" i="60" s="1"/>
  <c r="AG35" i="60"/>
  <c r="AG36" i="60"/>
  <c r="AJ17" i="60"/>
  <c r="AJ46" i="60"/>
  <c r="AJ45" i="60"/>
  <c r="AJ44" i="60"/>
  <c r="AI41" i="60"/>
  <c r="AH40" i="60" s="1"/>
  <c r="AK42" i="60"/>
  <c r="AK91" i="60"/>
  <c r="AI156" i="60"/>
  <c r="AG24" i="60"/>
  <c r="AF15" i="60"/>
  <c r="AG18" i="60"/>
  <c r="AU53" i="60"/>
  <c r="AV52" i="60"/>
  <c r="AG47" i="60"/>
  <c r="AG50" i="60"/>
  <c r="AI49" i="60"/>
  <c r="AI32" i="60" s="1"/>
  <c r="AI20" i="60"/>
  <c r="AI19" i="60"/>
  <c r="AH16" i="60"/>
  <c r="AH48" i="60"/>
  <c r="H84" i="60"/>
  <c r="H99" i="60"/>
  <c r="H100" i="60" s="1"/>
  <c r="AW57" i="61"/>
  <c r="AV58" i="61"/>
  <c r="AZ42" i="61"/>
  <c r="AY43" i="61"/>
  <c r="L129" i="61"/>
  <c r="J130" i="61" s="1"/>
  <c r="L119" i="61"/>
  <c r="L118" i="61"/>
  <c r="L114" i="61"/>
  <c r="L115" i="61" s="1"/>
  <c r="L112" i="61"/>
  <c r="L113" i="61"/>
  <c r="L117" i="61" s="1"/>
  <c r="AV96" i="61"/>
  <c r="AW1" i="61"/>
  <c r="AL1" i="60"/>
  <c r="H126" i="60"/>
  <c r="H120" i="60"/>
  <c r="AP27" i="60"/>
  <c r="AU37" i="60"/>
  <c r="H71" i="60"/>
  <c r="G68" i="60"/>
  <c r="H72" i="60"/>
  <c r="H116" i="60"/>
  <c r="AK17" i="60" l="1"/>
  <c r="AJ41" i="60"/>
  <c r="AI40" i="60" s="1"/>
  <c r="AK46" i="60"/>
  <c r="AK44" i="60"/>
  <c r="AK45" i="60"/>
  <c r="AH33" i="60"/>
  <c r="AH38" i="60" s="1"/>
  <c r="AG31" i="60"/>
  <c r="AH36" i="60"/>
  <c r="AH35" i="60"/>
  <c r="AI48" i="60"/>
  <c r="AJ49" i="60"/>
  <c r="AJ32" i="60" s="1"/>
  <c r="AJ19" i="60"/>
  <c r="AI16" i="60"/>
  <c r="AJ20" i="60"/>
  <c r="AF34" i="60"/>
  <c r="AE30" i="60"/>
  <c r="AH24" i="60"/>
  <c r="AG15" i="60"/>
  <c r="AH18" i="60"/>
  <c r="AH47" i="60"/>
  <c r="AH50" i="60"/>
  <c r="AV53" i="60"/>
  <c r="AW52" i="60"/>
  <c r="AJ156" i="60"/>
  <c r="AL42" i="60"/>
  <c r="AL91" i="60"/>
  <c r="L120" i="61"/>
  <c r="L123" i="61"/>
  <c r="L128" i="61" s="1"/>
  <c r="L74" i="61"/>
  <c r="BA42" i="61"/>
  <c r="AZ43" i="61"/>
  <c r="AX1" i="61"/>
  <c r="AW96" i="61"/>
  <c r="AX57" i="61"/>
  <c r="AW58" i="61"/>
  <c r="AM1" i="60"/>
  <c r="AV37" i="60"/>
  <c r="AQ27" i="60"/>
  <c r="H103" i="60"/>
  <c r="H101" i="60"/>
  <c r="F67" i="60"/>
  <c r="G70" i="60"/>
  <c r="H87" i="60"/>
  <c r="G83" i="60"/>
  <c r="H88" i="60"/>
  <c r="H152" i="60" s="1"/>
  <c r="H85" i="60"/>
  <c r="AJ48" i="60" l="1"/>
  <c r="AL17" i="60"/>
  <c r="AK41" i="60"/>
  <c r="AJ40" i="60" s="1"/>
  <c r="AL46" i="60"/>
  <c r="AL44" i="60"/>
  <c r="AL45" i="60"/>
  <c r="AI47" i="60"/>
  <c r="AI50" i="60"/>
  <c r="AG34" i="60"/>
  <c r="AF30" i="60"/>
  <c r="AK156" i="60"/>
  <c r="AM42" i="60"/>
  <c r="AM91" i="60"/>
  <c r="AI18" i="60"/>
  <c r="AI24" i="60"/>
  <c r="AH15" i="60"/>
  <c r="AI33" i="60"/>
  <c r="AI38" i="60" s="1"/>
  <c r="AI35" i="60"/>
  <c r="AH31" i="60"/>
  <c r="AI36" i="60"/>
  <c r="AW53" i="60"/>
  <c r="AX52" i="60"/>
  <c r="AK49" i="60"/>
  <c r="AK32" i="60" s="1"/>
  <c r="AK19" i="60"/>
  <c r="AJ16" i="60"/>
  <c r="AK20" i="60"/>
  <c r="L89" i="61"/>
  <c r="K73" i="61"/>
  <c r="L77" i="61"/>
  <c r="L76" i="61"/>
  <c r="L105" i="61"/>
  <c r="L106" i="61" s="1"/>
  <c r="AY57" i="61"/>
  <c r="AX58" i="61"/>
  <c r="AY1" i="61"/>
  <c r="AX96" i="61"/>
  <c r="L125" i="61"/>
  <c r="L132" i="61" s="1"/>
  <c r="L126" i="61"/>
  <c r="L122" i="61"/>
  <c r="BB42" i="61"/>
  <c r="BA43" i="61"/>
  <c r="AN1" i="60"/>
  <c r="AR27" i="60"/>
  <c r="AW37" i="60"/>
  <c r="G86" i="60"/>
  <c r="F82" i="60"/>
  <c r="H90" i="60"/>
  <c r="H94" i="60"/>
  <c r="H95" i="60" s="1"/>
  <c r="G102" i="60"/>
  <c r="H105" i="60"/>
  <c r="I104" i="60"/>
  <c r="H150" i="60"/>
  <c r="H28" i="8"/>
  <c r="H24" i="8"/>
  <c r="H23" i="8"/>
  <c r="I23" i="8" s="1"/>
  <c r="H22" i="8"/>
  <c r="H9" i="8"/>
  <c r="I9" i="8" s="1"/>
  <c r="H4" i="8"/>
  <c r="I4" i="8" s="1"/>
  <c r="C7" i="8"/>
  <c r="I29" i="8"/>
  <c r="H21" i="8"/>
  <c r="H20" i="8"/>
  <c r="H19" i="8"/>
  <c r="H18" i="8"/>
  <c r="H17" i="8"/>
  <c r="AJ24" i="60" l="1"/>
  <c r="AJ18" i="60"/>
  <c r="AI15" i="60"/>
  <c r="AL49" i="60"/>
  <c r="AL32" i="60" s="1"/>
  <c r="AK16" i="60"/>
  <c r="AL19" i="60"/>
  <c r="AL20" i="60"/>
  <c r="AM17" i="60"/>
  <c r="AM46" i="60"/>
  <c r="AM45" i="60"/>
  <c r="AM44" i="60"/>
  <c r="AL41" i="60"/>
  <c r="AK40" i="60" s="1"/>
  <c r="AJ47" i="60"/>
  <c r="AJ50" i="60"/>
  <c r="AX53" i="60"/>
  <c r="AY52" i="60"/>
  <c r="AN42" i="60"/>
  <c r="AN91" i="60"/>
  <c r="AK48" i="60"/>
  <c r="AH34" i="60"/>
  <c r="AG30" i="60"/>
  <c r="AL156" i="60"/>
  <c r="AJ36" i="60"/>
  <c r="AJ33" i="60"/>
  <c r="AJ38" i="60" s="1"/>
  <c r="AI31" i="60"/>
  <c r="AJ35" i="60"/>
  <c r="AY96" i="61"/>
  <c r="AZ1" i="61"/>
  <c r="K75" i="61"/>
  <c r="J72" i="61"/>
  <c r="L109" i="61"/>
  <c r="L107" i="61"/>
  <c r="BC42" i="61"/>
  <c r="BB43" i="61"/>
  <c r="AZ57" i="61"/>
  <c r="AY58" i="61"/>
  <c r="L93" i="61"/>
  <c r="L158" i="61" s="1"/>
  <c r="L92" i="61"/>
  <c r="K88" i="61"/>
  <c r="L90" i="61"/>
  <c r="AO1" i="60"/>
  <c r="AX37" i="60"/>
  <c r="AS27" i="60"/>
  <c r="I106" i="60"/>
  <c r="I113" i="60"/>
  <c r="I123" i="60"/>
  <c r="G124" i="60" s="1"/>
  <c r="I108" i="60"/>
  <c r="I109" i="60" s="1"/>
  <c r="I112" i="60"/>
  <c r="I117" i="60" s="1"/>
  <c r="I122" i="60" s="1"/>
  <c r="I107" i="60"/>
  <c r="I111" i="60" s="1"/>
  <c r="H74" i="60"/>
  <c r="I7" i="8"/>
  <c r="I8" i="8" s="1"/>
  <c r="I39" i="8"/>
  <c r="I10" i="8"/>
  <c r="I14" i="8"/>
  <c r="AY53" i="60" l="1"/>
  <c r="AZ52" i="60"/>
  <c r="AM49" i="60"/>
  <c r="AM32" i="60" s="1"/>
  <c r="AM20" i="60"/>
  <c r="AL16" i="60"/>
  <c r="AM19" i="60"/>
  <c r="AO42" i="60"/>
  <c r="AO91" i="60"/>
  <c r="AH30" i="60"/>
  <c r="AI34" i="60"/>
  <c r="AK35" i="60"/>
  <c r="AK33" i="60"/>
  <c r="AK38" i="60" s="1"/>
  <c r="AK36" i="60"/>
  <c r="AJ31" i="60"/>
  <c r="AK47" i="60"/>
  <c r="AK50" i="60"/>
  <c r="AL48" i="60"/>
  <c r="AN17" i="60"/>
  <c r="AN45" i="60"/>
  <c r="AN44" i="60"/>
  <c r="AN46" i="60"/>
  <c r="AM156" i="60"/>
  <c r="AJ15" i="60"/>
  <c r="AK24" i="60"/>
  <c r="AK18" i="60"/>
  <c r="C80" i="61"/>
  <c r="D80" i="61"/>
  <c r="C75" i="60"/>
  <c r="E80" i="61"/>
  <c r="F80" i="61"/>
  <c r="G80" i="61"/>
  <c r="D75" i="60"/>
  <c r="H80" i="61"/>
  <c r="E75" i="60"/>
  <c r="I80" i="61"/>
  <c r="F75" i="60"/>
  <c r="J80" i="61"/>
  <c r="G75" i="60"/>
  <c r="K80" i="61"/>
  <c r="H75" i="60"/>
  <c r="L95" i="61"/>
  <c r="L99" i="61"/>
  <c r="L100" i="61" s="1"/>
  <c r="L80" i="61"/>
  <c r="L79" i="61" s="1"/>
  <c r="K91" i="61"/>
  <c r="J87" i="61"/>
  <c r="BA57" i="61"/>
  <c r="AZ58" i="61"/>
  <c r="BD42" i="61"/>
  <c r="BC43" i="61"/>
  <c r="L111" i="61"/>
  <c r="K108" i="61"/>
  <c r="M110" i="61"/>
  <c r="AZ96" i="61"/>
  <c r="BA1" i="61"/>
  <c r="AP1" i="60"/>
  <c r="AT27" i="60"/>
  <c r="AY37" i="60"/>
  <c r="I114" i="60"/>
  <c r="I69" i="60"/>
  <c r="I43" i="8"/>
  <c r="I44" i="8" s="1"/>
  <c r="I11" i="8"/>
  <c r="C8" i="4"/>
  <c r="C7" i="4"/>
  <c r="C6" i="4"/>
  <c r="C5" i="4"/>
  <c r="C4" i="4"/>
  <c r="C3" i="4"/>
  <c r="C2" i="4"/>
  <c r="C6" i="3"/>
  <c r="C5" i="3"/>
  <c r="C4" i="3"/>
  <c r="C3" i="3"/>
  <c r="C2" i="3"/>
  <c r="AO17" i="60" l="1"/>
  <c r="AO45" i="60"/>
  <c r="AO44" i="60"/>
  <c r="AO46" i="60"/>
  <c r="AM48" i="60"/>
  <c r="AN156" i="60"/>
  <c r="AL47" i="60"/>
  <c r="AL50" i="60"/>
  <c r="AJ34" i="60"/>
  <c r="AI30" i="60"/>
  <c r="AZ53" i="60"/>
  <c r="BA52" i="60"/>
  <c r="AN49" i="60"/>
  <c r="AN32" i="60" s="1"/>
  <c r="AN20" i="60"/>
  <c r="AN19" i="60"/>
  <c r="AP42" i="60"/>
  <c r="AP91" i="60"/>
  <c r="AK31" i="60"/>
  <c r="AL33" i="60"/>
  <c r="AL38" i="60" s="1"/>
  <c r="AL35" i="60"/>
  <c r="AL36" i="60"/>
  <c r="AL24" i="60"/>
  <c r="AK15" i="60"/>
  <c r="AL18" i="60"/>
  <c r="I120" i="60"/>
  <c r="I119" i="60"/>
  <c r="I126" i="60" s="1"/>
  <c r="J79" i="61"/>
  <c r="J83" i="61"/>
  <c r="J85" i="61"/>
  <c r="H79" i="61"/>
  <c r="H83" i="61"/>
  <c r="H85" i="61"/>
  <c r="E85" i="61"/>
  <c r="E83" i="61"/>
  <c r="E82" i="61" s="1"/>
  <c r="H80" i="60"/>
  <c r="H78" i="60"/>
  <c r="F80" i="60"/>
  <c r="F78" i="60"/>
  <c r="F77" i="60" s="1"/>
  <c r="D80" i="60"/>
  <c r="D78" i="60"/>
  <c r="D77" i="60" s="1"/>
  <c r="C78" i="60"/>
  <c r="C77" i="60" s="1"/>
  <c r="C80" i="60"/>
  <c r="K83" i="61"/>
  <c r="K85" i="61"/>
  <c r="K79" i="61"/>
  <c r="I79" i="61"/>
  <c r="I83" i="61"/>
  <c r="I85" i="61"/>
  <c r="G83" i="61"/>
  <c r="G82" i="61" s="1"/>
  <c r="G85" i="61"/>
  <c r="D85" i="61"/>
  <c r="D83" i="61"/>
  <c r="D82" i="61" s="1"/>
  <c r="G80" i="60"/>
  <c r="G78" i="60"/>
  <c r="G77" i="60" s="1"/>
  <c r="E78" i="60"/>
  <c r="E77" i="60" s="1"/>
  <c r="E80" i="60"/>
  <c r="F85" i="61"/>
  <c r="F83" i="61"/>
  <c r="F82" i="61" s="1"/>
  <c r="C83" i="61"/>
  <c r="C82" i="61" s="1"/>
  <c r="C85" i="61"/>
  <c r="I84" i="60"/>
  <c r="I99" i="60"/>
  <c r="I100" i="60" s="1"/>
  <c r="BB1" i="61"/>
  <c r="BA96" i="61"/>
  <c r="BB57" i="61"/>
  <c r="BA58" i="61"/>
  <c r="L85" i="61"/>
  <c r="L83" i="61"/>
  <c r="M129" i="61"/>
  <c r="K130" i="61" s="1"/>
  <c r="M119" i="61"/>
  <c r="M114" i="61"/>
  <c r="M115" i="61" s="1"/>
  <c r="M112" i="61"/>
  <c r="M113" i="61"/>
  <c r="M117" i="61" s="1"/>
  <c r="M118" i="61"/>
  <c r="BE42" i="61"/>
  <c r="BD43" i="61"/>
  <c r="AQ1" i="60"/>
  <c r="AZ37" i="60"/>
  <c r="AU27" i="60"/>
  <c r="I116" i="60"/>
  <c r="I71" i="60"/>
  <c r="H68" i="60"/>
  <c r="I72" i="60"/>
  <c r="B48" i="33"/>
  <c r="AK34" i="60" l="1"/>
  <c r="AJ30" i="60"/>
  <c r="AN48" i="60"/>
  <c r="AP17" i="60"/>
  <c r="AP45" i="60"/>
  <c r="AP44" i="60"/>
  <c r="AP46" i="60"/>
  <c r="BA53" i="60"/>
  <c r="BB52" i="60"/>
  <c r="AM47" i="60"/>
  <c r="AM50" i="60"/>
  <c r="AO156" i="60"/>
  <c r="AQ42" i="60"/>
  <c r="AQ91" i="60"/>
  <c r="AM33" i="60"/>
  <c r="AM38" i="60" s="1"/>
  <c r="AM36" i="60"/>
  <c r="AM35" i="60"/>
  <c r="AL31" i="60"/>
  <c r="AO49" i="60"/>
  <c r="AO32" i="60" s="1"/>
  <c r="AO20" i="60"/>
  <c r="AO19" i="60"/>
  <c r="G76" i="60"/>
  <c r="H77" i="60"/>
  <c r="J82" i="61"/>
  <c r="I81" i="61"/>
  <c r="I82" i="61"/>
  <c r="H81" i="61"/>
  <c r="K82" i="61"/>
  <c r="J81" i="61"/>
  <c r="G81" i="61"/>
  <c r="H82" i="61"/>
  <c r="M120" i="61"/>
  <c r="M74" i="61"/>
  <c r="M123" i="61"/>
  <c r="M128" i="61" s="1"/>
  <c r="BC57" i="61"/>
  <c r="BB58" i="61"/>
  <c r="BF42" i="61"/>
  <c r="BE43" i="61"/>
  <c r="L82" i="61"/>
  <c r="K81" i="61"/>
  <c r="BB96" i="61"/>
  <c r="BC1" i="61"/>
  <c r="AR1" i="60"/>
  <c r="AV27" i="60"/>
  <c r="BA37" i="60"/>
  <c r="I85" i="60"/>
  <c r="H83" i="60"/>
  <c r="I88" i="60"/>
  <c r="I152" i="60" s="1"/>
  <c r="I87" i="60"/>
  <c r="I103" i="60"/>
  <c r="I101" i="60"/>
  <c r="G67" i="60"/>
  <c r="H70" i="60"/>
  <c r="AQ17" i="60" l="1"/>
  <c r="AQ46" i="60"/>
  <c r="AQ45" i="60"/>
  <c r="AQ44" i="60"/>
  <c r="AL34" i="60"/>
  <c r="AK30" i="60"/>
  <c r="AP156" i="60"/>
  <c r="AN47" i="60"/>
  <c r="AN50" i="60"/>
  <c r="AN36" i="60"/>
  <c r="AN33" i="60"/>
  <c r="AN38" i="60" s="1"/>
  <c r="AN35" i="60"/>
  <c r="BB53" i="60"/>
  <c r="BC52" i="60"/>
  <c r="AR42" i="60"/>
  <c r="AR91" i="60"/>
  <c r="AO48" i="60"/>
  <c r="AP49" i="60"/>
  <c r="AP32" i="60" s="1"/>
  <c r="AP20" i="60"/>
  <c r="AP19" i="60"/>
  <c r="BG42" i="61"/>
  <c r="BF43" i="61"/>
  <c r="BD57" i="61"/>
  <c r="BC58" i="61"/>
  <c r="M89" i="61"/>
  <c r="M76" i="61"/>
  <c r="L73" i="61"/>
  <c r="M77" i="61"/>
  <c r="M105" i="61"/>
  <c r="M106" i="61" s="1"/>
  <c r="BC96" i="61"/>
  <c r="BD1" i="61"/>
  <c r="M125" i="61"/>
  <c r="M132" i="61" s="1"/>
  <c r="M122" i="61"/>
  <c r="M126" i="61"/>
  <c r="AS1" i="60"/>
  <c r="BB37" i="60"/>
  <c r="AW27" i="60"/>
  <c r="I105" i="60"/>
  <c r="H102" i="60"/>
  <c r="J104" i="60"/>
  <c r="G82" i="60"/>
  <c r="H86" i="60"/>
  <c r="I150" i="60"/>
  <c r="I90" i="60"/>
  <c r="I94" i="60"/>
  <c r="I95" i="60" s="1"/>
  <c r="I75" i="60"/>
  <c r="F26" i="32"/>
  <c r="F27" i="32" s="1"/>
  <c r="F28" i="32" s="1"/>
  <c r="AP48" i="60" l="1"/>
  <c r="BC53" i="60"/>
  <c r="BD52" i="60"/>
  <c r="AO35" i="60"/>
  <c r="AO33" i="60"/>
  <c r="AO38" i="60" s="1"/>
  <c r="AO36" i="60"/>
  <c r="AQ156" i="60"/>
  <c r="AR17" i="60"/>
  <c r="AR44" i="60"/>
  <c r="AR46" i="60"/>
  <c r="AR45" i="60"/>
  <c r="AO47" i="60"/>
  <c r="AO50" i="60"/>
  <c r="AS42" i="60"/>
  <c r="AS91" i="60"/>
  <c r="AQ49" i="60"/>
  <c r="AQ32" i="60" s="1"/>
  <c r="AQ19" i="60"/>
  <c r="AQ20" i="60"/>
  <c r="BD96" i="61"/>
  <c r="BE1" i="61"/>
  <c r="M93" i="61"/>
  <c r="M158" i="61" s="1"/>
  <c r="L88" i="61"/>
  <c r="M90" i="61"/>
  <c r="M92" i="61"/>
  <c r="M109" i="61"/>
  <c r="M107" i="61"/>
  <c r="BE57" i="61"/>
  <c r="BD58" i="61"/>
  <c r="K72" i="61"/>
  <c r="L75" i="61"/>
  <c r="BH42" i="61"/>
  <c r="BH43" i="61" s="1"/>
  <c r="BG43" i="61"/>
  <c r="AT1" i="60"/>
  <c r="BC37" i="60"/>
  <c r="AX27" i="60"/>
  <c r="I74" i="60"/>
  <c r="I80" i="60"/>
  <c r="I78" i="60"/>
  <c r="H76" i="60" s="1"/>
  <c r="J108" i="60"/>
  <c r="J109" i="60" s="1"/>
  <c r="J112" i="60"/>
  <c r="J117" i="60" s="1"/>
  <c r="J122" i="60" s="1"/>
  <c r="J107" i="60"/>
  <c r="J111" i="60" s="1"/>
  <c r="J106" i="60"/>
  <c r="J123" i="60"/>
  <c r="H124" i="60" s="1"/>
  <c r="J113" i="60"/>
  <c r="C53" i="7"/>
  <c r="AS17" i="60" l="1"/>
  <c r="AS45" i="60"/>
  <c r="AS46" i="60"/>
  <c r="AS44" i="60"/>
  <c r="AR156" i="60"/>
  <c r="BD53" i="60"/>
  <c r="BE52" i="60"/>
  <c r="AT42" i="60"/>
  <c r="AT91" i="60"/>
  <c r="AQ48" i="60"/>
  <c r="AR49" i="60"/>
  <c r="AR32" i="60" s="1"/>
  <c r="AR19" i="60"/>
  <c r="AR20" i="60"/>
  <c r="AP47" i="60"/>
  <c r="AP50" i="60"/>
  <c r="AP35" i="60"/>
  <c r="AP36" i="60"/>
  <c r="AP33" i="60"/>
  <c r="AP38" i="60" s="1"/>
  <c r="BE96" i="61"/>
  <c r="BF1" i="61"/>
  <c r="L108" i="61"/>
  <c r="M111" i="61"/>
  <c r="N110" i="61"/>
  <c r="L91" i="61"/>
  <c r="K87" i="61"/>
  <c r="BE58" i="61"/>
  <c r="BF57" i="61"/>
  <c r="M95" i="61"/>
  <c r="M99" i="61"/>
  <c r="M100" i="61" s="1"/>
  <c r="M80" i="61"/>
  <c r="M79" i="61" s="1"/>
  <c r="AU1" i="60"/>
  <c r="BD37" i="60"/>
  <c r="AY27" i="60"/>
  <c r="J114" i="60"/>
  <c r="J119" i="60" s="1"/>
  <c r="J69" i="60"/>
  <c r="I77" i="60"/>
  <c r="AQ47" i="60" l="1"/>
  <c r="AQ50" i="60"/>
  <c r="BE53" i="60"/>
  <c r="BF52" i="60"/>
  <c r="AQ36" i="60"/>
  <c r="AQ35" i="60"/>
  <c r="AQ33" i="60"/>
  <c r="AQ38" i="60" s="1"/>
  <c r="AS156" i="60"/>
  <c r="AU42" i="60"/>
  <c r="AU91" i="60"/>
  <c r="AR48" i="60"/>
  <c r="AT17" i="60"/>
  <c r="AT46" i="60"/>
  <c r="AT45" i="60"/>
  <c r="AT44" i="60"/>
  <c r="AS49" i="60"/>
  <c r="AS32" i="60" s="1"/>
  <c r="AS20" i="60"/>
  <c r="AS19" i="60"/>
  <c r="AO28" i="61"/>
  <c r="Y28" i="61"/>
  <c r="M28" i="61"/>
  <c r="K28" i="61"/>
  <c r="AQ28" i="61"/>
  <c r="N28" i="61"/>
  <c r="AH28" i="61"/>
  <c r="BF28" i="61"/>
  <c r="AE28" i="61"/>
  <c r="AB28" i="61"/>
  <c r="AC28" i="61"/>
  <c r="BE28" i="61"/>
  <c r="C28" i="61"/>
  <c r="H28" i="61"/>
  <c r="AF28" i="61"/>
  <c r="AG28" i="61"/>
  <c r="AR28" i="61"/>
  <c r="F28" i="61"/>
  <c r="S28" i="61"/>
  <c r="AY28" i="61"/>
  <c r="R28" i="61"/>
  <c r="AP28" i="61"/>
  <c r="G28" i="61"/>
  <c r="AM28" i="61"/>
  <c r="E28" i="61"/>
  <c r="AK28" i="61"/>
  <c r="P28" i="61"/>
  <c r="AN28" i="61"/>
  <c r="AW28" i="61"/>
  <c r="L28" i="61"/>
  <c r="AZ28" i="61"/>
  <c r="V28" i="61"/>
  <c r="AA28" i="61"/>
  <c r="BC28" i="61"/>
  <c r="Z28" i="61"/>
  <c r="AT28" i="61"/>
  <c r="O28" i="61"/>
  <c r="AU28" i="61"/>
  <c r="I28" i="61"/>
  <c r="AS28" i="61"/>
  <c r="T28" i="61"/>
  <c r="AV28" i="61"/>
  <c r="BH28" i="61"/>
  <c r="AL28" i="61"/>
  <c r="AI28" i="61"/>
  <c r="J28" i="61"/>
  <c r="AD28" i="61"/>
  <c r="AX28" i="61"/>
  <c r="W28" i="61"/>
  <c r="BG28" i="61"/>
  <c r="U28" i="61"/>
  <c r="BA28" i="61"/>
  <c r="D28" i="61"/>
  <c r="X28" i="61"/>
  <c r="BD28" i="61"/>
  <c r="Q28" i="61"/>
  <c r="AJ28" i="61"/>
  <c r="BB28" i="61"/>
  <c r="AO23" i="60"/>
  <c r="AN23" i="60"/>
  <c r="AP23" i="60"/>
  <c r="J23" i="60"/>
  <c r="E23" i="60"/>
  <c r="F23" i="60"/>
  <c r="G23" i="60"/>
  <c r="Y23" i="60"/>
  <c r="C23" i="60"/>
  <c r="K23" i="60"/>
  <c r="AA23" i="60"/>
  <c r="AJ23" i="60"/>
  <c r="I23" i="60"/>
  <c r="U23" i="60"/>
  <c r="AK23" i="60"/>
  <c r="AF23" i="60"/>
  <c r="AE23" i="60"/>
  <c r="M23" i="60"/>
  <c r="AB23" i="60"/>
  <c r="AC23" i="60"/>
  <c r="S23" i="60"/>
  <c r="L23" i="60"/>
  <c r="X23" i="60"/>
  <c r="T23" i="60"/>
  <c r="H23" i="60"/>
  <c r="W23" i="60"/>
  <c r="AM23" i="60"/>
  <c r="O23" i="60"/>
  <c r="P23" i="60"/>
  <c r="D23" i="60"/>
  <c r="AI23" i="60"/>
  <c r="Z23" i="60"/>
  <c r="AL23" i="60"/>
  <c r="AG23" i="60"/>
  <c r="N23" i="60"/>
  <c r="V23" i="60"/>
  <c r="AD23" i="60"/>
  <c r="AH23" i="60"/>
  <c r="Q23" i="60"/>
  <c r="R23" i="60"/>
  <c r="J84" i="60"/>
  <c r="J99" i="60"/>
  <c r="J100" i="60" s="1"/>
  <c r="BG57" i="61"/>
  <c r="BF58" i="61"/>
  <c r="N113" i="61"/>
  <c r="N117" i="61" s="1"/>
  <c r="N118" i="61"/>
  <c r="N129" i="61"/>
  <c r="L130" i="61" s="1"/>
  <c r="N114" i="61"/>
  <c r="N115" i="61" s="1"/>
  <c r="N119" i="61"/>
  <c r="N112" i="61"/>
  <c r="BF96" i="61"/>
  <c r="BG1" i="61"/>
  <c r="M83" i="61"/>
  <c r="M85" i="61"/>
  <c r="M97" i="61"/>
  <c r="AV1" i="60"/>
  <c r="J126" i="60"/>
  <c r="J120" i="60"/>
  <c r="BE37" i="60"/>
  <c r="AZ27" i="60"/>
  <c r="J71" i="60"/>
  <c r="I68" i="60"/>
  <c r="J72" i="60"/>
  <c r="J116" i="60"/>
  <c r="AS48" i="60" l="1"/>
  <c r="AV42" i="60"/>
  <c r="AV91" i="60"/>
  <c r="AQ23" i="60"/>
  <c r="AQ26" i="60" s="1"/>
  <c r="AQ25" i="60" s="1"/>
  <c r="AR35" i="60"/>
  <c r="AR33" i="60"/>
  <c r="AR36" i="60"/>
  <c r="BF53" i="60"/>
  <c r="BG52" i="60"/>
  <c r="AT156" i="60"/>
  <c r="AT49" i="60"/>
  <c r="AT32" i="60" s="1"/>
  <c r="AT20" i="60"/>
  <c r="AT19" i="60"/>
  <c r="AU17" i="60"/>
  <c r="AU46" i="60"/>
  <c r="AU44" i="60"/>
  <c r="AU45" i="60"/>
  <c r="AR47" i="60"/>
  <c r="AR50" i="60"/>
  <c r="AH22" i="60"/>
  <c r="AH26" i="60"/>
  <c r="AH28" i="60"/>
  <c r="AG26" i="60"/>
  <c r="AG22" i="60"/>
  <c r="AG28" i="60"/>
  <c r="W26" i="60"/>
  <c r="W22" i="60"/>
  <c r="W28" i="60"/>
  <c r="M22" i="60"/>
  <c r="M26" i="60"/>
  <c r="M28" i="60"/>
  <c r="F22" i="60"/>
  <c r="F28" i="60"/>
  <c r="F129" i="60" s="1"/>
  <c r="F26" i="60"/>
  <c r="F24" i="60" s="1"/>
  <c r="F92" i="60"/>
  <c r="F93" i="60" s="1"/>
  <c r="BB31" i="61"/>
  <c r="BB30" i="61" s="1"/>
  <c r="BB27" i="61"/>
  <c r="BB33" i="61"/>
  <c r="BG31" i="61"/>
  <c r="BG30" i="61" s="1"/>
  <c r="BG27" i="61"/>
  <c r="BG33" i="61"/>
  <c r="AV31" i="61"/>
  <c r="AV30" i="61" s="1"/>
  <c r="AV27" i="61"/>
  <c r="AV33" i="61"/>
  <c r="BC27" i="61"/>
  <c r="BC31" i="61"/>
  <c r="BC30" i="61" s="1"/>
  <c r="BC33" i="61"/>
  <c r="AK27" i="61"/>
  <c r="AK31" i="61"/>
  <c r="AK30" i="61" s="1"/>
  <c r="AK33" i="61"/>
  <c r="AP31" i="61"/>
  <c r="AP30" i="61" s="1"/>
  <c r="AP27" i="61"/>
  <c r="AP33" i="61"/>
  <c r="H31" i="61"/>
  <c r="H27" i="61"/>
  <c r="H33" i="61"/>
  <c r="H135" i="61" s="1"/>
  <c r="H97" i="61"/>
  <c r="AB27" i="61"/>
  <c r="AB31" i="61"/>
  <c r="AB30" i="61" s="1"/>
  <c r="AB33" i="61"/>
  <c r="Y27" i="61"/>
  <c r="Y33" i="61"/>
  <c r="Y31" i="61"/>
  <c r="Y30" i="61" s="1"/>
  <c r="AL26" i="60"/>
  <c r="AL22" i="60"/>
  <c r="AL28" i="60"/>
  <c r="H22" i="60"/>
  <c r="H26" i="60"/>
  <c r="H24" i="60" s="1"/>
  <c r="H28" i="60"/>
  <c r="H129" i="60" s="1"/>
  <c r="H92" i="60"/>
  <c r="H93" i="60" s="1"/>
  <c r="I22" i="60"/>
  <c r="I26" i="60"/>
  <c r="I24" i="60" s="1"/>
  <c r="I28" i="60"/>
  <c r="I129" i="60" s="1"/>
  <c r="I92" i="60"/>
  <c r="I93" i="60" s="1"/>
  <c r="E22" i="60"/>
  <c r="E28" i="60"/>
  <c r="E129" i="60" s="1"/>
  <c r="E26" i="60"/>
  <c r="E92" i="60"/>
  <c r="E93" i="60" s="1"/>
  <c r="AJ27" i="61"/>
  <c r="AJ31" i="61"/>
  <c r="AJ30" i="61" s="1"/>
  <c r="AJ33" i="61"/>
  <c r="W27" i="61"/>
  <c r="W33" i="61"/>
  <c r="W31" i="61"/>
  <c r="W30" i="61" s="1"/>
  <c r="T27" i="61"/>
  <c r="T33" i="61"/>
  <c r="T31" i="61"/>
  <c r="T30" i="61" s="1"/>
  <c r="AA27" i="61"/>
  <c r="AA31" i="61"/>
  <c r="AA30" i="61" s="1"/>
  <c r="AA33" i="61"/>
  <c r="E31" i="61"/>
  <c r="E27" i="61"/>
  <c r="E33" i="61"/>
  <c r="E135" i="61" s="1"/>
  <c r="E97" i="61"/>
  <c r="AR27" i="61"/>
  <c r="AR31" i="61"/>
  <c r="AR30" i="61" s="1"/>
  <c r="AR33" i="61"/>
  <c r="AQ27" i="61"/>
  <c r="AQ31" i="61"/>
  <c r="AQ30" i="61" s="1"/>
  <c r="AQ33" i="61"/>
  <c r="Q26" i="60"/>
  <c r="Q24" i="60" s="1"/>
  <c r="Q22" i="60"/>
  <c r="Q28" i="60"/>
  <c r="N22" i="60"/>
  <c r="N26" i="60"/>
  <c r="N24" i="60" s="1"/>
  <c r="N28" i="60"/>
  <c r="AI22" i="60"/>
  <c r="AI26" i="60"/>
  <c r="AI28" i="60"/>
  <c r="AM22" i="60"/>
  <c r="AM26" i="60"/>
  <c r="AM25" i="60" s="1"/>
  <c r="AM28" i="60"/>
  <c r="X22" i="60"/>
  <c r="X26" i="60"/>
  <c r="X28" i="60"/>
  <c r="AB22" i="60"/>
  <c r="AB26" i="60"/>
  <c r="AB28" i="60"/>
  <c r="AK22" i="60"/>
  <c r="AK26" i="60"/>
  <c r="AK28" i="60"/>
  <c r="AA22" i="60"/>
  <c r="AA26" i="60"/>
  <c r="AA28" i="60"/>
  <c r="G22" i="60"/>
  <c r="G26" i="60"/>
  <c r="G24" i="60" s="1"/>
  <c r="G28" i="60"/>
  <c r="G129" i="60" s="1"/>
  <c r="G92" i="60"/>
  <c r="G93" i="60" s="1"/>
  <c r="AO26" i="60"/>
  <c r="AO25" i="60" s="1"/>
  <c r="AO22" i="60"/>
  <c r="AO28" i="60"/>
  <c r="BD31" i="61"/>
  <c r="BD30" i="61" s="1"/>
  <c r="BD27" i="61"/>
  <c r="BD33" i="61"/>
  <c r="U31" i="61"/>
  <c r="U30" i="61" s="1"/>
  <c r="U27" i="61"/>
  <c r="U33" i="61"/>
  <c r="AD31" i="61"/>
  <c r="AD30" i="61" s="1"/>
  <c r="AD27" i="61"/>
  <c r="AD33" i="61"/>
  <c r="BH31" i="61"/>
  <c r="BH30" i="61" s="1"/>
  <c r="BH27" i="61"/>
  <c r="BH33" i="61"/>
  <c r="I27" i="61"/>
  <c r="I33" i="61"/>
  <c r="I135" i="61" s="1"/>
  <c r="I31" i="61"/>
  <c r="I97" i="61"/>
  <c r="Z31" i="61"/>
  <c r="Z30" i="61" s="1"/>
  <c r="Z27" i="61"/>
  <c r="Z33" i="61"/>
  <c r="AZ27" i="61"/>
  <c r="AZ31" i="61"/>
  <c r="AZ30" i="61" s="1"/>
  <c r="AZ33" i="61"/>
  <c r="P27" i="61"/>
  <c r="P31" i="61"/>
  <c r="P30" i="61" s="1"/>
  <c r="P33" i="61"/>
  <c r="G33" i="61"/>
  <c r="G135" i="61" s="1"/>
  <c r="G31" i="61"/>
  <c r="G27" i="61"/>
  <c r="G97" i="61"/>
  <c r="S33" i="61"/>
  <c r="S27" i="61"/>
  <c r="S31" i="61"/>
  <c r="S30" i="61" s="1"/>
  <c r="AF27" i="61"/>
  <c r="AF31" i="61"/>
  <c r="AF30" i="61" s="1"/>
  <c r="AF33" i="61"/>
  <c r="AC27" i="61"/>
  <c r="AC31" i="61"/>
  <c r="AC30" i="61" s="1"/>
  <c r="AC33" i="61"/>
  <c r="AH31" i="61"/>
  <c r="AH30" i="61" s="1"/>
  <c r="AH27" i="61"/>
  <c r="AH33" i="61"/>
  <c r="M33" i="61"/>
  <c r="M135" i="61" s="1"/>
  <c r="M27" i="61"/>
  <c r="M31" i="61"/>
  <c r="M30" i="61" s="1"/>
  <c r="D22" i="60"/>
  <c r="D28" i="60"/>
  <c r="D129" i="60" s="1"/>
  <c r="D26" i="60"/>
  <c r="D92" i="60"/>
  <c r="D93" i="60" s="1"/>
  <c r="L26" i="60"/>
  <c r="L24" i="60" s="1"/>
  <c r="L22" i="60"/>
  <c r="L28" i="60"/>
  <c r="U26" i="60"/>
  <c r="U25" i="60" s="1"/>
  <c r="U22" i="60"/>
  <c r="U28" i="60"/>
  <c r="K26" i="60"/>
  <c r="K24" i="60" s="1"/>
  <c r="K22" i="60"/>
  <c r="K28" i="60"/>
  <c r="X33" i="61"/>
  <c r="X31" i="61"/>
  <c r="X30" i="61" s="1"/>
  <c r="X27" i="61"/>
  <c r="J27" i="61"/>
  <c r="J33" i="61"/>
  <c r="J135" i="61" s="1"/>
  <c r="J31" i="61"/>
  <c r="J97" i="61"/>
  <c r="AU27" i="61"/>
  <c r="AU31" i="61"/>
  <c r="AU30" i="61" s="1"/>
  <c r="AU33" i="61"/>
  <c r="L27" i="61"/>
  <c r="L33" i="61"/>
  <c r="L135" i="61" s="1"/>
  <c r="L31" i="61"/>
  <c r="L97" i="61"/>
  <c r="F31" i="61"/>
  <c r="F27" i="61"/>
  <c r="F33" i="61"/>
  <c r="F135" i="61" s="1"/>
  <c r="F97" i="61"/>
  <c r="N33" i="61"/>
  <c r="N31" i="61"/>
  <c r="N30" i="61" s="1"/>
  <c r="N27" i="61"/>
  <c r="AD26" i="60"/>
  <c r="AD22" i="60"/>
  <c r="AD28" i="60"/>
  <c r="P26" i="60"/>
  <c r="P24" i="60" s="1"/>
  <c r="P22" i="60"/>
  <c r="P28" i="60"/>
  <c r="S26" i="60"/>
  <c r="S22" i="60"/>
  <c r="S28" i="60"/>
  <c r="AE22" i="60"/>
  <c r="AE26" i="60"/>
  <c r="AE28" i="60"/>
  <c r="C28" i="60"/>
  <c r="C129" i="60" s="1"/>
  <c r="C26" i="60"/>
  <c r="C22" i="60"/>
  <c r="C92" i="60"/>
  <c r="C93" i="60" s="1"/>
  <c r="AP22" i="60"/>
  <c r="AP26" i="60"/>
  <c r="AP25" i="60" s="1"/>
  <c r="AP28" i="60"/>
  <c r="D31" i="61"/>
  <c r="D33" i="61"/>
  <c r="D135" i="61" s="1"/>
  <c r="D27" i="61"/>
  <c r="D97" i="61"/>
  <c r="AI31" i="61"/>
  <c r="AI30" i="61" s="1"/>
  <c r="AI27" i="61"/>
  <c r="AI33" i="61"/>
  <c r="O31" i="61"/>
  <c r="O30" i="61" s="1"/>
  <c r="O33" i="61"/>
  <c r="O27" i="61"/>
  <c r="AW31" i="61"/>
  <c r="AW30" i="61" s="1"/>
  <c r="AW27" i="61"/>
  <c r="AW33" i="61"/>
  <c r="R33" i="61"/>
  <c r="R31" i="61"/>
  <c r="R30" i="61" s="1"/>
  <c r="R27" i="61"/>
  <c r="C27" i="61"/>
  <c r="C31" i="61"/>
  <c r="C33" i="61"/>
  <c r="C135" i="61" s="1"/>
  <c r="C97" i="61"/>
  <c r="AE27" i="61"/>
  <c r="AE31" i="61"/>
  <c r="AE30" i="61" s="1"/>
  <c r="AE33" i="61"/>
  <c r="AO31" i="61"/>
  <c r="AO30" i="61" s="1"/>
  <c r="AO27" i="61"/>
  <c r="AO33" i="61"/>
  <c r="R22" i="60"/>
  <c r="R26" i="60"/>
  <c r="R28" i="60"/>
  <c r="V22" i="60"/>
  <c r="V26" i="60"/>
  <c r="V28" i="60"/>
  <c r="Z22" i="60"/>
  <c r="Z26" i="60"/>
  <c r="Z28" i="60"/>
  <c r="O26" i="60"/>
  <c r="O24" i="60" s="1"/>
  <c r="O22" i="60"/>
  <c r="O28" i="60"/>
  <c r="T22" i="60"/>
  <c r="T26" i="60"/>
  <c r="T28" i="60"/>
  <c r="AC22" i="60"/>
  <c r="AC26" i="60"/>
  <c r="AC28" i="60"/>
  <c r="AF22" i="60"/>
  <c r="AF26" i="60"/>
  <c r="AF28" i="60"/>
  <c r="AJ22" i="60"/>
  <c r="AJ26" i="60"/>
  <c r="AJ28" i="60"/>
  <c r="Y22" i="60"/>
  <c r="Y26" i="60"/>
  <c r="Y28" i="60"/>
  <c r="J26" i="60"/>
  <c r="J24" i="60" s="1"/>
  <c r="J22" i="60"/>
  <c r="J28" i="60"/>
  <c r="AN26" i="60"/>
  <c r="AN25" i="60" s="1"/>
  <c r="AN22" i="60"/>
  <c r="AN28" i="60"/>
  <c r="Q31" i="61"/>
  <c r="Q30" i="61" s="1"/>
  <c r="Q27" i="61"/>
  <c r="Q33" i="61"/>
  <c r="BA31" i="61"/>
  <c r="BA30" i="61" s="1"/>
  <c r="BA27" i="61"/>
  <c r="BA33" i="61"/>
  <c r="AX31" i="61"/>
  <c r="AX30" i="61" s="1"/>
  <c r="AX27" i="61"/>
  <c r="AX33" i="61"/>
  <c r="AL31" i="61"/>
  <c r="AL30" i="61" s="1"/>
  <c r="AL27" i="61"/>
  <c r="AL33" i="61"/>
  <c r="AS31" i="61"/>
  <c r="AS30" i="61" s="1"/>
  <c r="AS27" i="61"/>
  <c r="AS33" i="61"/>
  <c r="AT31" i="61"/>
  <c r="AT30" i="61" s="1"/>
  <c r="AT27" i="61"/>
  <c r="AT33" i="61"/>
  <c r="V27" i="61"/>
  <c r="V33" i="61"/>
  <c r="V31" i="61"/>
  <c r="V30" i="61" s="1"/>
  <c r="AN27" i="61"/>
  <c r="AN31" i="61"/>
  <c r="AN30" i="61" s="1"/>
  <c r="AN33" i="61"/>
  <c r="AM31" i="61"/>
  <c r="AM30" i="61" s="1"/>
  <c r="AM27" i="61"/>
  <c r="AM33" i="61"/>
  <c r="AY31" i="61"/>
  <c r="AY30" i="61" s="1"/>
  <c r="AY27" i="61"/>
  <c r="AY33" i="61"/>
  <c r="AG31" i="61"/>
  <c r="AG30" i="61" s="1"/>
  <c r="AG27" i="61"/>
  <c r="AG33" i="61"/>
  <c r="BE31" i="61"/>
  <c r="BE30" i="61" s="1"/>
  <c r="BE27" i="61"/>
  <c r="BE33" i="61"/>
  <c r="BF27" i="61"/>
  <c r="BF31" i="61"/>
  <c r="BF30" i="61" s="1"/>
  <c r="BF33" i="61"/>
  <c r="K31" i="61"/>
  <c r="K27" i="61"/>
  <c r="K33" i="61"/>
  <c r="K135" i="61" s="1"/>
  <c r="K97" i="61"/>
  <c r="BG96" i="61"/>
  <c r="BH1" i="61"/>
  <c r="BH96" i="61" s="1"/>
  <c r="M98" i="61"/>
  <c r="M101" i="61"/>
  <c r="M102" i="61" s="1"/>
  <c r="N123" i="61"/>
  <c r="N128" i="61" s="1"/>
  <c r="N120" i="61"/>
  <c r="N74" i="61"/>
  <c r="M82" i="61"/>
  <c r="M140" i="61" s="1"/>
  <c r="M146" i="61" s="1"/>
  <c r="L81" i="61"/>
  <c r="BH57" i="61"/>
  <c r="BH58" i="61" s="1"/>
  <c r="BG58" i="61"/>
  <c r="AW1" i="60"/>
  <c r="BF37" i="60"/>
  <c r="BA27" i="60"/>
  <c r="H67" i="60"/>
  <c r="I70" i="60"/>
  <c r="J103" i="60"/>
  <c r="J101" i="60"/>
  <c r="I83" i="60"/>
  <c r="J88" i="60"/>
  <c r="J152" i="60" s="1"/>
  <c r="J87" i="60"/>
  <c r="J85" i="60"/>
  <c r="B18" i="34"/>
  <c r="D51" i="33"/>
  <c r="C51" i="33"/>
  <c r="E48" i="33"/>
  <c r="K40" i="33"/>
  <c r="C40" i="33"/>
  <c r="F39" i="33"/>
  <c r="F38" i="33"/>
  <c r="F37" i="33"/>
  <c r="J36" i="33"/>
  <c r="I36" i="33"/>
  <c r="E36" i="33"/>
  <c r="K36" i="33" s="1"/>
  <c r="F35" i="33"/>
  <c r="F34" i="33"/>
  <c r="K33" i="33"/>
  <c r="J33" i="33"/>
  <c r="I33" i="33"/>
  <c r="F33" i="33"/>
  <c r="B32" i="33"/>
  <c r="E32" i="33" s="1"/>
  <c r="F32" i="33" s="1"/>
  <c r="F31" i="33"/>
  <c r="E30" i="33"/>
  <c r="D30" i="33"/>
  <c r="I28" i="33"/>
  <c r="D28" i="33"/>
  <c r="E27" i="33"/>
  <c r="F27" i="33" s="1"/>
  <c r="J26" i="33"/>
  <c r="E25" i="33"/>
  <c r="F25" i="33" s="1"/>
  <c r="E24" i="33"/>
  <c r="F24" i="33" s="1"/>
  <c r="F23" i="33"/>
  <c r="F22" i="33"/>
  <c r="F21" i="33"/>
  <c r="F20" i="33"/>
  <c r="F19" i="33"/>
  <c r="F18" i="33"/>
  <c r="E17" i="33"/>
  <c r="F17" i="33" s="1"/>
  <c r="F16" i="33"/>
  <c r="F15" i="33"/>
  <c r="E15" i="33"/>
  <c r="J14" i="33"/>
  <c r="I14" i="33"/>
  <c r="F14" i="33"/>
  <c r="F13" i="33"/>
  <c r="F12" i="33"/>
  <c r="K11" i="33"/>
  <c r="J11" i="33"/>
  <c r="I11" i="33"/>
  <c r="F11" i="33"/>
  <c r="F10" i="33"/>
  <c r="E9" i="33"/>
  <c r="E8" i="33"/>
  <c r="D8" i="33" s="1"/>
  <c r="E7" i="33"/>
  <c r="D7" i="33"/>
  <c r="F6" i="33"/>
  <c r="F5" i="33"/>
  <c r="F4" i="33"/>
  <c r="F3" i="33"/>
  <c r="I2" i="33"/>
  <c r="F2" i="33"/>
  <c r="B24" i="32"/>
  <c r="B23" i="32"/>
  <c r="B22" i="32"/>
  <c r="F13" i="32"/>
  <c r="F15" i="32" s="1"/>
  <c r="F10" i="32"/>
  <c r="B8" i="32"/>
  <c r="B9" i="32" s="1"/>
  <c r="F7" i="32"/>
  <c r="F5" i="32"/>
  <c r="B8" i="26"/>
  <c r="B13" i="26"/>
  <c r="B23" i="26"/>
  <c r="F3" i="21"/>
  <c r="J3" i="21" s="1"/>
  <c r="D4" i="21"/>
  <c r="F4" i="21" s="1"/>
  <c r="J4" i="21" s="1"/>
  <c r="B5" i="20" s="1"/>
  <c r="D5" i="21"/>
  <c r="F5" i="21" s="1"/>
  <c r="J5" i="21" s="1"/>
  <c r="B6" i="20" s="1"/>
  <c r="B22" i="25"/>
  <c r="B23" i="25"/>
  <c r="E3" i="23"/>
  <c r="E4" i="23"/>
  <c r="H4" i="23"/>
  <c r="E5" i="23"/>
  <c r="H5" i="23" s="1"/>
  <c r="E6" i="23"/>
  <c r="E7" i="23"/>
  <c r="H7" i="23" s="1"/>
  <c r="E8" i="23"/>
  <c r="H8" i="23" s="1"/>
  <c r="E9" i="23"/>
  <c r="H9" i="23" s="1"/>
  <c r="E10" i="23"/>
  <c r="H10" i="23" s="1"/>
  <c r="E11" i="23"/>
  <c r="H11" i="23" s="1"/>
  <c r="E12" i="23"/>
  <c r="H12" i="23" s="1"/>
  <c r="E13" i="23"/>
  <c r="H13" i="23" s="1"/>
  <c r="E14" i="23"/>
  <c r="H14" i="23" s="1"/>
  <c r="E15" i="23"/>
  <c r="H15" i="23"/>
  <c r="H16" i="23"/>
  <c r="E18" i="23"/>
  <c r="H18" i="23" s="1"/>
  <c r="E19" i="23"/>
  <c r="H19" i="23" s="1"/>
  <c r="E20" i="23"/>
  <c r="H20" i="23" s="1"/>
  <c r="H22" i="23"/>
  <c r="E23" i="23"/>
  <c r="H23" i="23" s="1"/>
  <c r="E25" i="23"/>
  <c r="H25" i="23" s="1"/>
  <c r="E26" i="23"/>
  <c r="H26" i="23" s="1"/>
  <c r="H30" i="23"/>
  <c r="B4" i="20" s="1"/>
  <c r="B10" i="19"/>
  <c r="B16" i="19"/>
  <c r="B22" i="19"/>
  <c r="B23" i="19"/>
  <c r="B24" i="19"/>
  <c r="G3" i="22"/>
  <c r="H3" i="22" s="1"/>
  <c r="G4" i="22"/>
  <c r="H4" i="22" s="1"/>
  <c r="G5" i="22"/>
  <c r="H5" i="22" s="1"/>
  <c r="G6" i="22"/>
  <c r="H6" i="22" s="1"/>
  <c r="G7" i="22"/>
  <c r="H7" i="22" s="1"/>
  <c r="G8" i="22"/>
  <c r="H8" i="22" s="1"/>
  <c r="G9" i="22"/>
  <c r="H9" i="22" s="1"/>
  <c r="B20" i="20"/>
  <c r="F4" i="29"/>
  <c r="F6" i="29"/>
  <c r="B10" i="29"/>
  <c r="B13" i="29"/>
  <c r="B11" i="29" s="1"/>
  <c r="F20" i="29"/>
  <c r="F22" i="29"/>
  <c r="B26" i="29"/>
  <c r="C24" i="29" s="1"/>
  <c r="B29" i="29"/>
  <c r="B27" i="29" s="1"/>
  <c r="F36" i="29"/>
  <c r="F37" i="29" s="1"/>
  <c r="F42" i="29" s="1"/>
  <c r="F38" i="29"/>
  <c r="B42" i="29"/>
  <c r="C41" i="29" s="1"/>
  <c r="B45" i="29"/>
  <c r="B43" i="29" s="1"/>
  <c r="B8" i="28"/>
  <c r="B9" i="28" s="1"/>
  <c r="F8" i="28"/>
  <c r="B21" i="28"/>
  <c r="B22" i="28"/>
  <c r="B23" i="28"/>
  <c r="B3" i="27"/>
  <c r="B4" i="27" s="1"/>
  <c r="B29" i="27" s="1"/>
  <c r="B30" i="27" s="1"/>
  <c r="B31" i="27" s="1"/>
  <c r="B8" i="27"/>
  <c r="B9" i="27"/>
  <c r="B35" i="27"/>
  <c r="B36" i="27"/>
  <c r="B49" i="27"/>
  <c r="B52" i="27" s="1"/>
  <c r="B53" i="27" s="1"/>
  <c r="I2" i="6"/>
  <c r="N2" i="6" s="1"/>
  <c r="I3" i="6"/>
  <c r="N3" i="6" s="1"/>
  <c r="I4" i="6"/>
  <c r="L4" i="6"/>
  <c r="L6" i="6"/>
  <c r="I7" i="6"/>
  <c r="I10" i="6"/>
  <c r="I11" i="6"/>
  <c r="L11" i="6" s="1"/>
  <c r="C14" i="6"/>
  <c r="C15" i="6"/>
  <c r="C16" i="6"/>
  <c r="C17" i="6"/>
  <c r="C18" i="6"/>
  <c r="J21" i="6"/>
  <c r="C40" i="7" s="1"/>
  <c r="D2" i="4"/>
  <c r="D3" i="4"/>
  <c r="D4" i="4"/>
  <c r="D5" i="4"/>
  <c r="D6" i="4"/>
  <c r="D7" i="4"/>
  <c r="D8" i="4"/>
  <c r="D11" i="4"/>
  <c r="B12" i="4"/>
  <c r="D12" i="4" s="1"/>
  <c r="D13" i="4"/>
  <c r="D14" i="4"/>
  <c r="F5" i="30"/>
  <c r="C11" i="30"/>
  <c r="F6" i="30" s="1"/>
  <c r="F12" i="30" s="1"/>
  <c r="F18" i="30"/>
  <c r="F19" i="30"/>
  <c r="F30" i="30"/>
  <c r="C41" i="30"/>
  <c r="C47" i="30" s="1"/>
  <c r="F43" i="30"/>
  <c r="C71" i="30"/>
  <c r="C77" i="30" s="1"/>
  <c r="F79" i="30"/>
  <c r="F80" i="30"/>
  <c r="F83" i="30"/>
  <c r="F96" i="30"/>
  <c r="F97" i="30"/>
  <c r="C100" i="30"/>
  <c r="F84" i="30" s="1"/>
  <c r="C6" i="7"/>
  <c r="C7" i="7" s="1"/>
  <c r="C9" i="7"/>
  <c r="C14" i="7"/>
  <c r="C26" i="7" s="1"/>
  <c r="C17" i="7"/>
  <c r="C18" i="7" s="1"/>
  <c r="C23" i="7"/>
  <c r="C29" i="7"/>
  <c r="C31" i="7"/>
  <c r="B32" i="7"/>
  <c r="C33" i="7"/>
  <c r="C34" i="7"/>
  <c r="B38" i="7"/>
  <c r="C38" i="7" s="1"/>
  <c r="B39" i="7"/>
  <c r="C39" i="7" s="1"/>
  <c r="C43" i="7"/>
  <c r="C44" i="7"/>
  <c r="C45" i="7"/>
  <c r="C57" i="7"/>
  <c r="F4" i="8"/>
  <c r="C8" i="8"/>
  <c r="F9" i="8"/>
  <c r="C10" i="8"/>
  <c r="C11" i="8" s="1"/>
  <c r="C14" i="8"/>
  <c r="C17" i="8"/>
  <c r="E17" i="8"/>
  <c r="C18" i="8"/>
  <c r="E18" i="8"/>
  <c r="C19" i="8"/>
  <c r="E19" i="8"/>
  <c r="C20" i="8"/>
  <c r="E20" i="8"/>
  <c r="F20" i="8"/>
  <c r="I20" i="8" s="1"/>
  <c r="C21" i="8"/>
  <c r="F21" i="8" s="1"/>
  <c r="I21" i="8" s="1"/>
  <c r="E21" i="8"/>
  <c r="B22" i="8"/>
  <c r="F23" i="8"/>
  <c r="C24" i="8"/>
  <c r="C28" i="8"/>
  <c r="I28" i="8" s="1"/>
  <c r="F28" i="8"/>
  <c r="C29" i="8"/>
  <c r="C30" i="8" s="1"/>
  <c r="F29" i="8"/>
  <c r="C45" i="8"/>
  <c r="D2" i="3"/>
  <c r="D3" i="3"/>
  <c r="D4" i="3"/>
  <c r="D5" i="3"/>
  <c r="D6" i="3"/>
  <c r="D9" i="3"/>
  <c r="D10" i="3"/>
  <c r="B11" i="3"/>
  <c r="D11" i="3"/>
  <c r="D12" i="3"/>
  <c r="D13" i="3"/>
  <c r="D14" i="3"/>
  <c r="B15" i="3"/>
  <c r="D15" i="3" s="1"/>
  <c r="B16" i="3"/>
  <c r="D16" i="3" s="1"/>
  <c r="B17" i="3"/>
  <c r="D17" i="3" s="1"/>
  <c r="H6" i="23"/>
  <c r="C8" i="29"/>
  <c r="AQ28" i="60" l="1"/>
  <c r="AQ22" i="60"/>
  <c r="AU49" i="60"/>
  <c r="AU32" i="60" s="1"/>
  <c r="AU19" i="60"/>
  <c r="AU20" i="60"/>
  <c r="AV17" i="60"/>
  <c r="AV45" i="60"/>
  <c r="AV46" i="60"/>
  <c r="AV44" i="60"/>
  <c r="BG53" i="60"/>
  <c r="BH52" i="60"/>
  <c r="BH53" i="60" s="1"/>
  <c r="AS47" i="60"/>
  <c r="AS50" i="60"/>
  <c r="AW42" i="60"/>
  <c r="AW91" i="60"/>
  <c r="AR38" i="60"/>
  <c r="AR23" i="60"/>
  <c r="AU156" i="60"/>
  <c r="AT48" i="60"/>
  <c r="AS35" i="60"/>
  <c r="AS33" i="60"/>
  <c r="AS36" i="60"/>
  <c r="M25" i="60"/>
  <c r="M24" i="60"/>
  <c r="F10" i="8"/>
  <c r="F38" i="8"/>
  <c r="F39" i="8" s="1"/>
  <c r="AL25" i="60"/>
  <c r="AK25" i="60"/>
  <c r="AJ25" i="60"/>
  <c r="AI25" i="60"/>
  <c r="AH25" i="60"/>
  <c r="AG25" i="60"/>
  <c r="AF25" i="60"/>
  <c r="AE25" i="60"/>
  <c r="AD25" i="60"/>
  <c r="AC25" i="60"/>
  <c r="AB25" i="60"/>
  <c r="AA25" i="60"/>
  <c r="Z25" i="60"/>
  <c r="Y25" i="60"/>
  <c r="V25" i="60"/>
  <c r="Q25" i="60"/>
  <c r="P25" i="60"/>
  <c r="N25" i="60"/>
  <c r="K98" i="61"/>
  <c r="K101" i="61"/>
  <c r="K102" i="61" s="1"/>
  <c r="T25" i="60"/>
  <c r="O25" i="60"/>
  <c r="R25" i="60"/>
  <c r="C98" i="61"/>
  <c r="C101" i="61"/>
  <c r="C102" i="61" s="1"/>
  <c r="D101" i="61"/>
  <c r="D102" i="61" s="1"/>
  <c r="D98" i="61"/>
  <c r="C96" i="60"/>
  <c r="C97" i="60" s="1"/>
  <c r="L29" i="61"/>
  <c r="K29" i="61"/>
  <c r="L30" i="61"/>
  <c r="L140" i="61" s="1"/>
  <c r="L146" i="61" s="1"/>
  <c r="L127" i="61"/>
  <c r="L25" i="60"/>
  <c r="G143" i="61"/>
  <c r="E96" i="60"/>
  <c r="E97" i="60" s="1"/>
  <c r="I96" i="60"/>
  <c r="I97" i="60" s="1"/>
  <c r="H96" i="60"/>
  <c r="H97" i="60" s="1"/>
  <c r="H29" i="61"/>
  <c r="G29" i="61"/>
  <c r="H30" i="61"/>
  <c r="H140" i="61" s="1"/>
  <c r="H146" i="61" s="1"/>
  <c r="H127" i="61"/>
  <c r="F96" i="60"/>
  <c r="F97" i="60" s="1"/>
  <c r="C141" i="61"/>
  <c r="S25" i="60"/>
  <c r="L141" i="61"/>
  <c r="L143" i="61"/>
  <c r="D96" i="60"/>
  <c r="D97" i="60" s="1"/>
  <c r="G101" i="61"/>
  <c r="G102" i="61" s="1"/>
  <c r="G98" i="61"/>
  <c r="G96" i="60"/>
  <c r="G97" i="60" s="1"/>
  <c r="E25" i="60"/>
  <c r="E134" i="60" s="1"/>
  <c r="E140" i="60" s="1"/>
  <c r="E121" i="60"/>
  <c r="H101" i="61"/>
  <c r="H102" i="61" s="1"/>
  <c r="H98" i="61"/>
  <c r="F25" i="60"/>
  <c r="F134" i="60" s="1"/>
  <c r="F140" i="60" s="1"/>
  <c r="F121" i="60"/>
  <c r="W25" i="60"/>
  <c r="J25" i="60"/>
  <c r="C30" i="61"/>
  <c r="C140" i="61" s="1"/>
  <c r="C146" i="61" s="1"/>
  <c r="C127" i="61"/>
  <c r="C25" i="60"/>
  <c r="C134" i="60" s="1"/>
  <c r="C140" i="60" s="1"/>
  <c r="C121" i="60"/>
  <c r="E29" i="61"/>
  <c r="F30" i="61"/>
  <c r="F140" i="61" s="1"/>
  <c r="F146" i="61" s="1"/>
  <c r="F127" i="61"/>
  <c r="J101" i="61"/>
  <c r="J102" i="61" s="1"/>
  <c r="J98" i="61"/>
  <c r="K25" i="60"/>
  <c r="D25" i="60"/>
  <c r="D134" i="60" s="1"/>
  <c r="D140" i="60" s="1"/>
  <c r="D121" i="60"/>
  <c r="I101" i="61"/>
  <c r="I102" i="61" s="1"/>
  <c r="I98" i="61"/>
  <c r="E30" i="61"/>
  <c r="E140" i="61" s="1"/>
  <c r="E146" i="61" s="1"/>
  <c r="E127" i="61"/>
  <c r="I25" i="60"/>
  <c r="I134" i="60" s="1"/>
  <c r="I121" i="60"/>
  <c r="H25" i="60"/>
  <c r="H134" i="60" s="1"/>
  <c r="H140" i="60" s="1"/>
  <c r="H121" i="60"/>
  <c r="H141" i="61"/>
  <c r="M127" i="61"/>
  <c r="K30" i="61"/>
  <c r="K140" i="61" s="1"/>
  <c r="K146" i="61" s="1"/>
  <c r="J29" i="61"/>
  <c r="K127" i="61"/>
  <c r="D30" i="61"/>
  <c r="D140" i="61" s="1"/>
  <c r="D146" i="61" s="1"/>
  <c r="D127" i="61"/>
  <c r="F101" i="61"/>
  <c r="F102" i="61" s="1"/>
  <c r="F98" i="61"/>
  <c r="L98" i="61"/>
  <c r="L101" i="61"/>
  <c r="L102" i="61" s="1"/>
  <c r="J30" i="61"/>
  <c r="J140" i="61" s="1"/>
  <c r="J146" i="61" s="1"/>
  <c r="I29" i="61"/>
  <c r="J127" i="61"/>
  <c r="G30" i="61"/>
  <c r="G140" i="61" s="1"/>
  <c r="G146" i="61" s="1"/>
  <c r="F29" i="61"/>
  <c r="G127" i="61"/>
  <c r="I30" i="61"/>
  <c r="I140" i="61" s="1"/>
  <c r="I146" i="61" s="1"/>
  <c r="I127" i="61"/>
  <c r="G25" i="60"/>
  <c r="G134" i="60" s="1"/>
  <c r="G140" i="60" s="1"/>
  <c r="G121" i="60"/>
  <c r="X25" i="60"/>
  <c r="E98" i="61"/>
  <c r="E101" i="61"/>
  <c r="E102" i="61" s="1"/>
  <c r="N122" i="61"/>
  <c r="N126" i="61"/>
  <c r="N125" i="61"/>
  <c r="N132" i="61" s="1"/>
  <c r="M141" i="61"/>
  <c r="M143" i="61"/>
  <c r="N89" i="61"/>
  <c r="M73" i="61"/>
  <c r="N77" i="61"/>
  <c r="N76" i="61"/>
  <c r="N105" i="61"/>
  <c r="N106" i="61" s="1"/>
  <c r="AX1" i="60"/>
  <c r="BB27" i="60"/>
  <c r="BG37" i="60"/>
  <c r="I102" i="60"/>
  <c r="J105" i="60"/>
  <c r="K104" i="60"/>
  <c r="J150" i="60"/>
  <c r="I86" i="60"/>
  <c r="H82" i="60"/>
  <c r="J90" i="60"/>
  <c r="J94" i="60"/>
  <c r="J95" i="60" s="1"/>
  <c r="J75" i="60"/>
  <c r="H10" i="22"/>
  <c r="F18" i="8"/>
  <c r="I18" i="8" s="1"/>
  <c r="C43" i="8"/>
  <c r="C44" i="8" s="1"/>
  <c r="C106" i="30"/>
  <c r="D46" i="29"/>
  <c r="F36" i="33"/>
  <c r="F19" i="8"/>
  <c r="I19" i="8" s="1"/>
  <c r="F13" i="28"/>
  <c r="F14" i="28" s="1"/>
  <c r="F45" i="8"/>
  <c r="B10" i="27"/>
  <c r="B37" i="27"/>
  <c r="B38" i="27"/>
  <c r="B39" i="27" s="1"/>
  <c r="B41" i="27" s="1"/>
  <c r="B11" i="27"/>
  <c r="D15" i="4"/>
  <c r="B28" i="29"/>
  <c r="C60" i="7"/>
  <c r="C41" i="7"/>
  <c r="B32" i="29"/>
  <c r="F5" i="29"/>
  <c r="B12" i="29"/>
  <c r="B5" i="29"/>
  <c r="B16" i="29"/>
  <c r="F7" i="8"/>
  <c r="F8" i="8" s="1"/>
  <c r="F14" i="8"/>
  <c r="F11" i="8"/>
  <c r="F43" i="8"/>
  <c r="F44" i="8" s="1"/>
  <c r="F21" i="29"/>
  <c r="B48" i="29"/>
  <c r="B44" i="29"/>
  <c r="B37" i="29"/>
  <c r="C25" i="29"/>
  <c r="D30" i="29"/>
  <c r="C30" i="29" s="1"/>
  <c r="B21" i="29"/>
  <c r="C23" i="29"/>
  <c r="C26" i="29" s="1"/>
  <c r="F39" i="29"/>
  <c r="F40" i="29"/>
  <c r="F41" i="29"/>
  <c r="C12" i="7"/>
  <c r="C13" i="7" s="1"/>
  <c r="C30" i="7"/>
  <c r="C32" i="7" s="1"/>
  <c r="C2" i="7"/>
  <c r="C12" i="30"/>
  <c r="C17" i="30"/>
  <c r="H3" i="23"/>
  <c r="H28" i="23" s="1"/>
  <c r="B3" i="20" s="1"/>
  <c r="B15" i="20" s="1"/>
  <c r="E28" i="23"/>
  <c r="F17" i="8"/>
  <c r="I17" i="8" s="1"/>
  <c r="C72" i="30"/>
  <c r="C42" i="30"/>
  <c r="F31" i="30"/>
  <c r="F7" i="30"/>
  <c r="C9" i="29"/>
  <c r="D14" i="29"/>
  <c r="C7" i="29"/>
  <c r="C10" i="29" s="1"/>
  <c r="I24" i="8"/>
  <c r="F24" i="8"/>
  <c r="N6" i="6"/>
  <c r="B25" i="27"/>
  <c r="B26" i="27" s="1"/>
  <c r="B19" i="27"/>
  <c r="B20" i="27" s="1"/>
  <c r="C39" i="29"/>
  <c r="C42" i="29" s="1"/>
  <c r="C46" i="29" s="1"/>
  <c r="C40" i="29"/>
  <c r="B11" i="19"/>
  <c r="B21" i="7"/>
  <c r="C22" i="8"/>
  <c r="F30" i="8"/>
  <c r="I45" i="8"/>
  <c r="I30" i="8"/>
  <c r="C101" i="30"/>
  <c r="L36" i="33"/>
  <c r="L11" i="33"/>
  <c r="D9" i="4"/>
  <c r="D18" i="3"/>
  <c r="D7" i="3"/>
  <c r="B3" i="34"/>
  <c r="B4" i="34" s="1"/>
  <c r="E49" i="33"/>
  <c r="E50" i="33" s="1"/>
  <c r="F8" i="33"/>
  <c r="E28" i="33"/>
  <c r="F30" i="33"/>
  <c r="L33" i="33"/>
  <c r="L14" i="33"/>
  <c r="K2" i="33"/>
  <c r="F7" i="33"/>
  <c r="D9" i="33"/>
  <c r="F9" i="33" s="1"/>
  <c r="L2" i="33" s="1"/>
  <c r="E26" i="33"/>
  <c r="I40" i="33"/>
  <c r="I41" i="33" s="1"/>
  <c r="C41" i="33"/>
  <c r="C52" i="33"/>
  <c r="K14" i="33"/>
  <c r="F28" i="33"/>
  <c r="AV156" i="60" l="1"/>
  <c r="AX42" i="60"/>
  <c r="AX91" i="60"/>
  <c r="AT47" i="60"/>
  <c r="AT50" i="60"/>
  <c r="AR28" i="60"/>
  <c r="AR22" i="60"/>
  <c r="AR26" i="60"/>
  <c r="AR25" i="60" s="1"/>
  <c r="AT36" i="60"/>
  <c r="AT35" i="60"/>
  <c r="AT33" i="60"/>
  <c r="AS38" i="60"/>
  <c r="AS23" i="60"/>
  <c r="AW17" i="60"/>
  <c r="AW46" i="60"/>
  <c r="AW45" i="60"/>
  <c r="AW44" i="60"/>
  <c r="AV49" i="60"/>
  <c r="AV32" i="60" s="1"/>
  <c r="AV19" i="60"/>
  <c r="AV20" i="60"/>
  <c r="AU48" i="60"/>
  <c r="F137" i="60"/>
  <c r="E137" i="60"/>
  <c r="C135" i="60"/>
  <c r="C136" i="60" s="1"/>
  <c r="C137" i="60"/>
  <c r="D135" i="60"/>
  <c r="K143" i="61"/>
  <c r="H135" i="60"/>
  <c r="G135" i="60"/>
  <c r="I141" i="61"/>
  <c r="F141" i="61"/>
  <c r="D137" i="60"/>
  <c r="F135" i="60"/>
  <c r="C143" i="61"/>
  <c r="E141" i="61"/>
  <c r="G141" i="61"/>
  <c r="F143" i="61"/>
  <c r="I140" i="60"/>
  <c r="I137" i="60"/>
  <c r="I135" i="60"/>
  <c r="D141" i="61"/>
  <c r="C142" i="61"/>
  <c r="D142" i="61"/>
  <c r="E143" i="61"/>
  <c r="J141" i="61"/>
  <c r="H143" i="61"/>
  <c r="E135" i="60"/>
  <c r="G137" i="60"/>
  <c r="D143" i="61"/>
  <c r="H137" i="60"/>
  <c r="K141" i="61"/>
  <c r="I143" i="61"/>
  <c r="J143" i="61"/>
  <c r="N93" i="61"/>
  <c r="N158" i="61" s="1"/>
  <c r="N92" i="61"/>
  <c r="N90" i="61"/>
  <c r="M88" i="61"/>
  <c r="N109" i="61"/>
  <c r="N107" i="61"/>
  <c r="M75" i="61"/>
  <c r="L72" i="61"/>
  <c r="AY1" i="60"/>
  <c r="BH37" i="60"/>
  <c r="BC27" i="60"/>
  <c r="K107" i="60"/>
  <c r="K111" i="60" s="1"/>
  <c r="K112" i="60"/>
  <c r="K117" i="60" s="1"/>
  <c r="K122" i="60" s="1"/>
  <c r="K108" i="60"/>
  <c r="K109" i="60" s="1"/>
  <c r="K106" i="60"/>
  <c r="K113" i="60"/>
  <c r="K123" i="60"/>
  <c r="I124" i="60" s="1"/>
  <c r="J74" i="60"/>
  <c r="J78" i="60"/>
  <c r="I76" i="60" s="1"/>
  <c r="J80" i="60"/>
  <c r="J129" i="60" s="1"/>
  <c r="J92" i="60"/>
  <c r="J93" i="60" s="1"/>
  <c r="H11" i="22"/>
  <c r="B8" i="54"/>
  <c r="B15" i="54" s="1"/>
  <c r="B12" i="27"/>
  <c r="B14" i="27" s="1"/>
  <c r="B45" i="27" s="1"/>
  <c r="B46" i="27" s="1"/>
  <c r="F9" i="28"/>
  <c r="C14" i="29"/>
  <c r="F25" i="29"/>
  <c r="F24" i="29"/>
  <c r="F23" i="29"/>
  <c r="F26" i="29"/>
  <c r="F37" i="30"/>
  <c r="F32" i="30"/>
  <c r="B17" i="20"/>
  <c r="B21" i="20" s="1"/>
  <c r="B26" i="20"/>
  <c r="B18" i="20"/>
  <c r="B23" i="20"/>
  <c r="B20" i="29"/>
  <c r="F27" i="29" s="1"/>
  <c r="B23" i="29"/>
  <c r="D23" i="29"/>
  <c r="D7" i="29"/>
  <c r="B7" i="29"/>
  <c r="B4" i="29"/>
  <c r="F11" i="29" s="1"/>
  <c r="C107" i="30"/>
  <c r="C104" i="30"/>
  <c r="C108" i="30" s="1"/>
  <c r="C110" i="30" s="1"/>
  <c r="C117" i="30" s="1"/>
  <c r="C119" i="30" s="1"/>
  <c r="C105" i="30"/>
  <c r="I22" i="8"/>
  <c r="I25" i="8" s="1"/>
  <c r="F22" i="8"/>
  <c r="F32" i="8" s="1"/>
  <c r="F34" i="8" s="1"/>
  <c r="C46" i="30"/>
  <c r="C45" i="30"/>
  <c r="C48" i="30"/>
  <c r="C25" i="8"/>
  <c r="C78" i="30"/>
  <c r="C76" i="30"/>
  <c r="C75" i="30"/>
  <c r="C15" i="30"/>
  <c r="C19" i="30" s="1"/>
  <c r="C21" i="30" s="1"/>
  <c r="C27" i="30" s="1"/>
  <c r="C29" i="30" s="1"/>
  <c r="C18" i="30"/>
  <c r="C16" i="30"/>
  <c r="F9" i="29"/>
  <c r="F10" i="29"/>
  <c r="F7" i="29"/>
  <c r="F8" i="29"/>
  <c r="C32" i="8"/>
  <c r="F13" i="30"/>
  <c r="F11" i="30"/>
  <c r="F10" i="30"/>
  <c r="F14" i="30" s="1"/>
  <c r="F16" i="30" s="1"/>
  <c r="F22" i="30" s="1"/>
  <c r="F24" i="30" s="1"/>
  <c r="F2" i="28" s="1"/>
  <c r="D39" i="29"/>
  <c r="B39" i="29"/>
  <c r="B36" i="29"/>
  <c r="F43" i="29" s="1"/>
  <c r="F50" i="33"/>
  <c r="F51" i="33" s="1"/>
  <c r="E51" i="33"/>
  <c r="J2" i="33"/>
  <c r="C44" i="33"/>
  <c r="C45" i="33" s="1"/>
  <c r="C46" i="33" s="1"/>
  <c r="F26" i="33"/>
  <c r="L26" i="33" s="1"/>
  <c r="K26" i="33"/>
  <c r="AX17" i="60" l="1"/>
  <c r="AX46" i="60"/>
  <c r="AX44" i="60"/>
  <c r="AX45" i="60"/>
  <c r="AU47" i="60"/>
  <c r="AU50" i="60"/>
  <c r="AW156" i="60"/>
  <c r="AT38" i="60"/>
  <c r="AT23" i="60"/>
  <c r="AU35" i="60"/>
  <c r="AU36" i="60"/>
  <c r="AU33" i="60"/>
  <c r="AV48" i="60"/>
  <c r="AW49" i="60"/>
  <c r="AW32" i="60" s="1"/>
  <c r="AW19" i="60"/>
  <c r="AW20" i="60"/>
  <c r="AS28" i="60"/>
  <c r="AS26" i="60"/>
  <c r="AS25" i="60" s="1"/>
  <c r="AS22" i="60"/>
  <c r="AY42" i="60"/>
  <c r="AY91" i="60"/>
  <c r="D136" i="60"/>
  <c r="E136" i="60"/>
  <c r="F136" i="60"/>
  <c r="M142" i="61"/>
  <c r="E142" i="61"/>
  <c r="L142" i="61"/>
  <c r="J142" i="61"/>
  <c r="I136" i="60"/>
  <c r="G136" i="60"/>
  <c r="H136" i="60"/>
  <c r="K142" i="61"/>
  <c r="G142" i="61"/>
  <c r="F142" i="61"/>
  <c r="H142" i="61"/>
  <c r="I142" i="61"/>
  <c r="N111" i="61"/>
  <c r="M108" i="61"/>
  <c r="O110" i="61"/>
  <c r="M91" i="61"/>
  <c r="L87" i="61"/>
  <c r="N95" i="61"/>
  <c r="N99" i="61"/>
  <c r="N100" i="61" s="1"/>
  <c r="N80" i="61"/>
  <c r="AZ1" i="60"/>
  <c r="BD27" i="60"/>
  <c r="J96" i="60"/>
  <c r="J97" i="60" s="1"/>
  <c r="J77" i="60"/>
  <c r="J134" i="60" s="1"/>
  <c r="J121" i="60"/>
  <c r="K114" i="60"/>
  <c r="K119" i="60" s="1"/>
  <c r="K69" i="60"/>
  <c r="B26" i="54"/>
  <c r="B18" i="54"/>
  <c r="B17" i="54"/>
  <c r="B21" i="54" s="1"/>
  <c r="B23" i="54" s="1"/>
  <c r="B24" i="54" s="1"/>
  <c r="B15" i="19"/>
  <c r="B18" i="28"/>
  <c r="B20" i="28" s="1"/>
  <c r="B25" i="28" s="1"/>
  <c r="B19" i="32"/>
  <c r="B21" i="32" s="1"/>
  <c r="B25" i="32" s="1"/>
  <c r="B24" i="20"/>
  <c r="C35" i="8"/>
  <c r="C34" i="8"/>
  <c r="B6" i="34"/>
  <c r="B28" i="20"/>
  <c r="B27" i="20"/>
  <c r="B29" i="20" s="1"/>
  <c r="F25" i="8"/>
  <c r="F35" i="8"/>
  <c r="C79" i="30"/>
  <c r="C81" i="30" s="1"/>
  <c r="C87" i="30" s="1"/>
  <c r="C89" i="30" s="1"/>
  <c r="B8" i="29"/>
  <c r="B15" i="29" s="1"/>
  <c r="B17" i="29" s="1"/>
  <c r="B9" i="29"/>
  <c r="I32" i="8"/>
  <c r="B41" i="29"/>
  <c r="B40" i="29"/>
  <c r="B47" i="29" s="1"/>
  <c r="B49" i="29" s="1"/>
  <c r="F40" i="8"/>
  <c r="C49" i="30"/>
  <c r="C51" i="30" s="1"/>
  <c r="C57" i="30" s="1"/>
  <c r="C59" i="30" s="1"/>
  <c r="B24" i="29"/>
  <c r="B31" i="29" s="1"/>
  <c r="B33" i="29" s="1"/>
  <c r="B25" i="29"/>
  <c r="F38" i="30"/>
  <c r="F35" i="30"/>
  <c r="F36" i="30"/>
  <c r="F11" i="28"/>
  <c r="AV33" i="60" l="1"/>
  <c r="AV36" i="60"/>
  <c r="AV35" i="60"/>
  <c r="AY17" i="60"/>
  <c r="AY46" i="60"/>
  <c r="AY44" i="60"/>
  <c r="AY45" i="60"/>
  <c r="AV47" i="60"/>
  <c r="AV50" i="60"/>
  <c r="AT28" i="60"/>
  <c r="AT26" i="60"/>
  <c r="AT25" i="60" s="1"/>
  <c r="AT22" i="60"/>
  <c r="AX156" i="60"/>
  <c r="AU38" i="60"/>
  <c r="AU23" i="60"/>
  <c r="AX49" i="60"/>
  <c r="AX32" i="60" s="1"/>
  <c r="AX20" i="60"/>
  <c r="AX19" i="60"/>
  <c r="AZ42" i="60"/>
  <c r="AZ91" i="60"/>
  <c r="AW48" i="60"/>
  <c r="K84" i="60"/>
  <c r="K99" i="60"/>
  <c r="K100" i="60" s="1"/>
  <c r="N85" i="61"/>
  <c r="N135" i="61" s="1"/>
  <c r="N83" i="61"/>
  <c r="N97" i="61"/>
  <c r="N79" i="61"/>
  <c r="O118" i="61"/>
  <c r="O113" i="61"/>
  <c r="O117" i="61" s="1"/>
  <c r="O114" i="61"/>
  <c r="O115" i="61" s="1"/>
  <c r="O112" i="61"/>
  <c r="O119" i="61"/>
  <c r="O129" i="61"/>
  <c r="M130" i="61" s="1"/>
  <c r="BA1" i="60"/>
  <c r="K126" i="60"/>
  <c r="K120" i="60"/>
  <c r="BE27" i="60"/>
  <c r="J140" i="60"/>
  <c r="K116" i="60"/>
  <c r="K71" i="60"/>
  <c r="K72" i="60"/>
  <c r="J68" i="60"/>
  <c r="B17" i="19"/>
  <c r="B21" i="19" s="1"/>
  <c r="B25" i="19" s="1"/>
  <c r="B42" i="7"/>
  <c r="C42" i="7" s="1"/>
  <c r="B28" i="54"/>
  <c r="B27" i="54"/>
  <c r="B32" i="20"/>
  <c r="B31" i="20"/>
  <c r="B33" i="20" s="1"/>
  <c r="F39" i="30"/>
  <c r="F41" i="30" s="1"/>
  <c r="F46" i="30" s="1"/>
  <c r="F48" i="30" s="1"/>
  <c r="F3" i="28" s="1"/>
  <c r="F4" i="28" s="1"/>
  <c r="F12" i="28"/>
  <c r="I35" i="8"/>
  <c r="I34" i="8"/>
  <c r="I40" i="8"/>
  <c r="AW36" i="60" l="1"/>
  <c r="AW33" i="60"/>
  <c r="AW35" i="60"/>
  <c r="AW47" i="60"/>
  <c r="AW50" i="60"/>
  <c r="AU26" i="60"/>
  <c r="AU25" i="60" s="1"/>
  <c r="AU22" i="60"/>
  <c r="AU28" i="60"/>
  <c r="AY49" i="60"/>
  <c r="AY32" i="60" s="1"/>
  <c r="AY19" i="60"/>
  <c r="AY20" i="60"/>
  <c r="BA42" i="60"/>
  <c r="BA91" i="60"/>
  <c r="AZ17" i="60"/>
  <c r="AZ45" i="60"/>
  <c r="AZ44" i="60"/>
  <c r="AZ46" i="60"/>
  <c r="AX48" i="60"/>
  <c r="AY156" i="60"/>
  <c r="AV38" i="60"/>
  <c r="AV23" i="60"/>
  <c r="B29" i="54"/>
  <c r="B31" i="54" s="1"/>
  <c r="N82" i="61"/>
  <c r="N140" i="61" s="1"/>
  <c r="N146" i="61" s="1"/>
  <c r="N127" i="61"/>
  <c r="M81" i="61"/>
  <c r="N101" i="61"/>
  <c r="N102" i="61" s="1"/>
  <c r="N98" i="61"/>
  <c r="O123" i="61"/>
  <c r="O128" i="61" s="1"/>
  <c r="O120" i="61"/>
  <c r="O74" i="61"/>
  <c r="BB1" i="60"/>
  <c r="BF27" i="60"/>
  <c r="J135" i="60"/>
  <c r="J136" i="60" s="1"/>
  <c r="J137" i="60"/>
  <c r="J83" i="60"/>
  <c r="K88" i="60"/>
  <c r="K152" i="60" s="1"/>
  <c r="K87" i="60"/>
  <c r="K85" i="60"/>
  <c r="K103" i="60"/>
  <c r="K101" i="60"/>
  <c r="I67" i="60"/>
  <c r="J70" i="60"/>
  <c r="C59" i="7"/>
  <c r="C46" i="7"/>
  <c r="B32" i="54"/>
  <c r="F68" i="30"/>
  <c r="F55" i="30" s="1"/>
  <c r="F98" i="30"/>
  <c r="B13" i="32"/>
  <c r="B16" i="32" s="1"/>
  <c r="B17" i="32" s="1"/>
  <c r="B26" i="32" s="1"/>
  <c r="B13" i="28"/>
  <c r="B3" i="7"/>
  <c r="B3" i="19"/>
  <c r="B13" i="19" s="1"/>
  <c r="B1" i="31"/>
  <c r="F25" i="28"/>
  <c r="F15" i="28"/>
  <c r="AV22" i="60" l="1"/>
  <c r="AV28" i="60"/>
  <c r="AV26" i="60"/>
  <c r="AV25" i="60" s="1"/>
  <c r="AX36" i="60"/>
  <c r="AX35" i="60"/>
  <c r="AX33" i="60"/>
  <c r="AZ49" i="60"/>
  <c r="AZ32" i="60" s="1"/>
  <c r="AZ19" i="60"/>
  <c r="AZ20" i="60"/>
  <c r="BB42" i="60"/>
  <c r="BB91" i="60"/>
  <c r="AZ156" i="60"/>
  <c r="AW38" i="60"/>
  <c r="AW23" i="60"/>
  <c r="AX47" i="60"/>
  <c r="AX50" i="60"/>
  <c r="BA17" i="60"/>
  <c r="BA46" i="60"/>
  <c r="BA44" i="60"/>
  <c r="BA45" i="60"/>
  <c r="AY48" i="60"/>
  <c r="B33" i="54"/>
  <c r="B3" i="53" s="1"/>
  <c r="BD48" i="61" s="1"/>
  <c r="BH48" i="61"/>
  <c r="AZ48" i="61"/>
  <c r="AV48" i="61"/>
  <c r="AR48" i="61"/>
  <c r="AN48" i="61"/>
  <c r="S48" i="61"/>
  <c r="BB48" i="61"/>
  <c r="AX48" i="61"/>
  <c r="AP48" i="61"/>
  <c r="AI48" i="61"/>
  <c r="BA48" i="61"/>
  <c r="AW48" i="61"/>
  <c r="AO48" i="61"/>
  <c r="AA48" i="61"/>
  <c r="BG48" i="61"/>
  <c r="BC48" i="61"/>
  <c r="AY48" i="61"/>
  <c r="AU48" i="61"/>
  <c r="AQ48" i="61"/>
  <c r="AM48" i="61"/>
  <c r="L48" i="61"/>
  <c r="L136" i="61" s="1"/>
  <c r="L138" i="61" s="1"/>
  <c r="BF48" i="61"/>
  <c r="AT48" i="61"/>
  <c r="G48" i="61"/>
  <c r="G136" i="61" s="1"/>
  <c r="G138" i="61" s="1"/>
  <c r="BE48" i="61"/>
  <c r="AS48" i="61"/>
  <c r="E48" i="61"/>
  <c r="E136" i="61" s="1"/>
  <c r="E138" i="61" s="1"/>
  <c r="O48" i="61"/>
  <c r="AE48" i="61"/>
  <c r="AK48" i="61"/>
  <c r="F48" i="61"/>
  <c r="F136" i="61" s="1"/>
  <c r="F138" i="61" s="1"/>
  <c r="V48" i="61"/>
  <c r="H48" i="61"/>
  <c r="H136" i="61" s="1"/>
  <c r="H138" i="61" s="1"/>
  <c r="AF48" i="61"/>
  <c r="Q48" i="61"/>
  <c r="C48" i="61"/>
  <c r="C136" i="61" s="1"/>
  <c r="I48" i="61"/>
  <c r="I136" i="61" s="1"/>
  <c r="I138" i="61" s="1"/>
  <c r="N48" i="61"/>
  <c r="W48" i="61"/>
  <c r="Y48" i="61"/>
  <c r="K48" i="61"/>
  <c r="K136" i="61" s="1"/>
  <c r="K138" i="61" s="1"/>
  <c r="U48" i="61"/>
  <c r="AH48" i="61"/>
  <c r="AC48" i="61"/>
  <c r="T48" i="61"/>
  <c r="D48" i="61"/>
  <c r="D136" i="61" s="1"/>
  <c r="D138" i="61" s="1"/>
  <c r="J48" i="61"/>
  <c r="J136" i="61" s="1"/>
  <c r="J138" i="61" s="1"/>
  <c r="Z48" i="61"/>
  <c r="P48" i="61"/>
  <c r="M48" i="61"/>
  <c r="M136" i="61" s="1"/>
  <c r="M138" i="61" s="1"/>
  <c r="X48" i="61"/>
  <c r="AJ48" i="61"/>
  <c r="AD48" i="61"/>
  <c r="AB48" i="61"/>
  <c r="AG48" i="61"/>
  <c r="AL48" i="61"/>
  <c r="R48" i="61"/>
  <c r="BF43" i="60"/>
  <c r="BB43" i="60"/>
  <c r="AZ43" i="60"/>
  <c r="AV43" i="60"/>
  <c r="AQ43" i="60"/>
  <c r="BD43" i="60"/>
  <c r="AX43" i="60"/>
  <c r="AT43" i="60"/>
  <c r="BH43" i="60"/>
  <c r="BG43" i="60"/>
  <c r="BA43" i="60"/>
  <c r="AS43" i="60"/>
  <c r="AR43" i="60"/>
  <c r="AN43" i="60"/>
  <c r="BE43" i="60"/>
  <c r="AY43" i="60"/>
  <c r="AU43" i="60"/>
  <c r="AP43" i="60"/>
  <c r="AO43" i="60"/>
  <c r="BC43" i="60"/>
  <c r="AW43" i="60"/>
  <c r="N143" i="61"/>
  <c r="O77" i="61"/>
  <c r="N73" i="61"/>
  <c r="O89" i="61"/>
  <c r="O76" i="61"/>
  <c r="O105" i="61"/>
  <c r="O106" i="61" s="1"/>
  <c r="O126" i="61"/>
  <c r="O125" i="61"/>
  <c r="O132" i="61" s="1"/>
  <c r="O122" i="61"/>
  <c r="N141" i="61"/>
  <c r="N142" i="61" s="1"/>
  <c r="BC1" i="60"/>
  <c r="BG27" i="60"/>
  <c r="K150" i="60"/>
  <c r="K90" i="60"/>
  <c r="K94" i="60"/>
  <c r="K95" i="60" s="1"/>
  <c r="K75" i="60"/>
  <c r="J102" i="60"/>
  <c r="K105" i="60"/>
  <c r="L104" i="60"/>
  <c r="J86" i="60"/>
  <c r="I82" i="60"/>
  <c r="AH43" i="60"/>
  <c r="R43" i="60"/>
  <c r="C43" i="60"/>
  <c r="C130" i="60" s="1"/>
  <c r="AD43" i="60"/>
  <c r="D43" i="60"/>
  <c r="D130" i="60" s="1"/>
  <c r="AM43" i="60"/>
  <c r="Z43" i="60"/>
  <c r="AL43" i="60"/>
  <c r="V43" i="60"/>
  <c r="G43" i="60"/>
  <c r="G130" i="60" s="1"/>
  <c r="AB43" i="60"/>
  <c r="Y43" i="60"/>
  <c r="N43" i="60"/>
  <c r="O43" i="60"/>
  <c r="AE43" i="60"/>
  <c r="AC43" i="60"/>
  <c r="M43" i="60"/>
  <c r="E43" i="60"/>
  <c r="E130" i="60" s="1"/>
  <c r="K43" i="60"/>
  <c r="AF43" i="60"/>
  <c r="AG43" i="60"/>
  <c r="S43" i="60"/>
  <c r="AI43" i="60"/>
  <c r="P43" i="60"/>
  <c r="J43" i="60"/>
  <c r="F43" i="60"/>
  <c r="F130" i="60" s="1"/>
  <c r="T43" i="60"/>
  <c r="AJ43" i="60"/>
  <c r="AK43" i="60"/>
  <c r="W43" i="60"/>
  <c r="X43" i="60"/>
  <c r="U43" i="60"/>
  <c r="AA43" i="60"/>
  <c r="Q43" i="60"/>
  <c r="H43" i="60"/>
  <c r="H130" i="60" s="1"/>
  <c r="L43" i="60"/>
  <c r="I43" i="60"/>
  <c r="I130" i="60" s="1"/>
  <c r="B16" i="53"/>
  <c r="B6" i="53"/>
  <c r="B7" i="53" s="1"/>
  <c r="B32" i="53" s="1"/>
  <c r="C47" i="7"/>
  <c r="C35" i="7"/>
  <c r="B2" i="31"/>
  <c r="F2" i="31" s="1"/>
  <c r="D29" i="33"/>
  <c r="B6" i="19"/>
  <c r="B7" i="19" s="1"/>
  <c r="F81" i="30"/>
  <c r="F54" i="30"/>
  <c r="B24" i="28"/>
  <c r="B16" i="28"/>
  <c r="B17" i="28" s="1"/>
  <c r="B26" i="28" s="1"/>
  <c r="F22" i="32"/>
  <c r="F23" i="32" s="1"/>
  <c r="F19" i="32"/>
  <c r="F18" i="32"/>
  <c r="B31" i="32"/>
  <c r="F21" i="32" s="1"/>
  <c r="B30" i="32"/>
  <c r="B28" i="32"/>
  <c r="B29" i="32"/>
  <c r="F9" i="32" s="1"/>
  <c r="AY47" i="60" l="1"/>
  <c r="AY50" i="60"/>
  <c r="AW22" i="60"/>
  <c r="AW26" i="60"/>
  <c r="AW25" i="60" s="1"/>
  <c r="AW28" i="60"/>
  <c r="AY35" i="60"/>
  <c r="AY36" i="60"/>
  <c r="AY33" i="60"/>
  <c r="BA49" i="60"/>
  <c r="BA32" i="60" s="1"/>
  <c r="BA20" i="60"/>
  <c r="BA19" i="60"/>
  <c r="BB17" i="60"/>
  <c r="BB45" i="60"/>
  <c r="BB46" i="60"/>
  <c r="BB44" i="60"/>
  <c r="AZ48" i="60"/>
  <c r="BC42" i="60"/>
  <c r="BC91" i="60"/>
  <c r="AX38" i="60"/>
  <c r="AX23" i="60"/>
  <c r="BA156" i="60"/>
  <c r="I149" i="61"/>
  <c r="L149" i="61"/>
  <c r="C138" i="61"/>
  <c r="C144" i="61"/>
  <c r="D144" i="61" s="1"/>
  <c r="E144" i="61" s="1"/>
  <c r="F144" i="61" s="1"/>
  <c r="G144" i="61" s="1"/>
  <c r="H144" i="61" s="1"/>
  <c r="I144" i="61" s="1"/>
  <c r="J144" i="61" s="1"/>
  <c r="K144" i="61" s="1"/>
  <c r="L144" i="61" s="1"/>
  <c r="M144" i="61" s="1"/>
  <c r="G149" i="61"/>
  <c r="D149" i="61"/>
  <c r="K149" i="61"/>
  <c r="H149" i="61"/>
  <c r="J149" i="61"/>
  <c r="F149" i="61"/>
  <c r="E149" i="61"/>
  <c r="N75" i="61"/>
  <c r="M72" i="61"/>
  <c r="M149" i="61"/>
  <c r="O109" i="61"/>
  <c r="O107" i="61"/>
  <c r="O92" i="61"/>
  <c r="O90" i="61"/>
  <c r="O93" i="61"/>
  <c r="O158" i="61" s="1"/>
  <c r="N88" i="61"/>
  <c r="BD1" i="60"/>
  <c r="BH27" i="60"/>
  <c r="K74" i="60"/>
  <c r="K78" i="60"/>
  <c r="J76" i="60" s="1"/>
  <c r="K80" i="60"/>
  <c r="K129" i="60" s="1"/>
  <c r="K92" i="60"/>
  <c r="K93" i="60" s="1"/>
  <c r="L113" i="60"/>
  <c r="L108" i="60"/>
  <c r="L109" i="60" s="1"/>
  <c r="L107" i="60"/>
  <c r="L111" i="60" s="1"/>
  <c r="L106" i="60"/>
  <c r="L123" i="60"/>
  <c r="J124" i="60" s="1"/>
  <c r="L112" i="60"/>
  <c r="L117" i="60" s="1"/>
  <c r="L122" i="60" s="1"/>
  <c r="H132" i="60"/>
  <c r="H143" i="60" s="1"/>
  <c r="F132" i="60"/>
  <c r="F143" i="60" s="1"/>
  <c r="E132" i="60"/>
  <c r="E143" i="60" s="1"/>
  <c r="G132" i="60"/>
  <c r="G143" i="60" s="1"/>
  <c r="I132" i="60"/>
  <c r="I143" i="60" s="1"/>
  <c r="D132" i="60"/>
  <c r="D143" i="60" s="1"/>
  <c r="C49" i="7"/>
  <c r="C50" i="7" s="1"/>
  <c r="C52" i="7" s="1"/>
  <c r="C54" i="7" s="1"/>
  <c r="B37" i="53"/>
  <c r="D7" i="53"/>
  <c r="B26" i="19"/>
  <c r="B29" i="19" s="1"/>
  <c r="D7" i="19"/>
  <c r="B28" i="19"/>
  <c r="B27" i="28"/>
  <c r="B28" i="28"/>
  <c r="F10" i="28" s="1"/>
  <c r="F16" i="28" s="1"/>
  <c r="F27" i="28" s="1"/>
  <c r="F56" i="30"/>
  <c r="F61" i="30"/>
  <c r="E29" i="33"/>
  <c r="J28" i="33"/>
  <c r="D40" i="33"/>
  <c r="D41" i="33" s="1"/>
  <c r="B30" i="19"/>
  <c r="D2" i="31"/>
  <c r="F90" i="30"/>
  <c r="F85" i="30"/>
  <c r="AZ47" i="60" l="1"/>
  <c r="AZ50" i="60"/>
  <c r="AY38" i="60"/>
  <c r="AY23" i="60"/>
  <c r="BC17" i="60"/>
  <c r="BC44" i="60"/>
  <c r="BC45" i="60"/>
  <c r="BC46" i="60"/>
  <c r="BB156" i="60"/>
  <c r="AX28" i="60"/>
  <c r="AX26" i="60"/>
  <c r="AX25" i="60" s="1"/>
  <c r="AX22" i="60"/>
  <c r="BD42" i="60"/>
  <c r="BD91" i="60"/>
  <c r="AZ35" i="60"/>
  <c r="AZ36" i="60"/>
  <c r="AZ33" i="60"/>
  <c r="BB49" i="60"/>
  <c r="BB32" i="60" s="1"/>
  <c r="BB19" i="60"/>
  <c r="BB20" i="60"/>
  <c r="BA48" i="60"/>
  <c r="C148" i="61"/>
  <c r="D148" i="61" s="1"/>
  <c r="E148" i="61" s="1"/>
  <c r="F148" i="61" s="1"/>
  <c r="G148" i="61" s="1"/>
  <c r="H148" i="61" s="1"/>
  <c r="I148" i="61" s="1"/>
  <c r="J148" i="61" s="1"/>
  <c r="K148" i="61" s="1"/>
  <c r="L148" i="61" s="1"/>
  <c r="M148" i="61" s="1"/>
  <c r="C149" i="61"/>
  <c r="C150" i="61" s="1"/>
  <c r="C153" i="61" s="1"/>
  <c r="C154" i="61" s="1"/>
  <c r="O99" i="61"/>
  <c r="O100" i="61" s="1"/>
  <c r="O95" i="61"/>
  <c r="O80" i="61"/>
  <c r="O79" i="61"/>
  <c r="O111" i="61"/>
  <c r="N108" i="61"/>
  <c r="P110" i="61"/>
  <c r="N91" i="61"/>
  <c r="M87" i="61"/>
  <c r="BE1" i="60"/>
  <c r="K96" i="60"/>
  <c r="K97" i="60" s="1"/>
  <c r="L69" i="60"/>
  <c r="L114" i="60"/>
  <c r="L119" i="60" s="1"/>
  <c r="K77" i="60"/>
  <c r="K134" i="60" s="1"/>
  <c r="K121" i="60"/>
  <c r="J130" i="60"/>
  <c r="C132" i="60"/>
  <c r="C138" i="60"/>
  <c r="D138" i="60" s="1"/>
  <c r="E138" i="60" s="1"/>
  <c r="F138" i="60" s="1"/>
  <c r="G138" i="60" s="1"/>
  <c r="H138" i="60" s="1"/>
  <c r="I138" i="60" s="1"/>
  <c r="B36" i="53"/>
  <c r="B35" i="53"/>
  <c r="B34" i="53"/>
  <c r="F91" i="30"/>
  <c r="F89" i="30"/>
  <c r="F88" i="30"/>
  <c r="F59" i="30"/>
  <c r="F60" i="30"/>
  <c r="F62" i="30"/>
  <c r="B3" i="31"/>
  <c r="F3" i="31" s="1"/>
  <c r="B2" i="34"/>
  <c r="E44" i="33"/>
  <c r="E45" i="33" s="1"/>
  <c r="F45" i="33" s="1"/>
  <c r="D44" i="33"/>
  <c r="D45" i="33" s="1"/>
  <c r="D46" i="33" s="1"/>
  <c r="D52" i="33"/>
  <c r="E45" i="29"/>
  <c r="F45" i="29" s="1"/>
  <c r="F46" i="29" s="1"/>
  <c r="E13" i="29"/>
  <c r="F13" i="29" s="1"/>
  <c r="F14" i="29" s="1"/>
  <c r="E29" i="29"/>
  <c r="F29" i="29" s="1"/>
  <c r="F30" i="29" s="1"/>
  <c r="F29" i="33"/>
  <c r="L28" i="33" s="1"/>
  <c r="E41" i="33"/>
  <c r="K28" i="33"/>
  <c r="K41" i="33" s="1"/>
  <c r="J40" i="33"/>
  <c r="J41" i="33" s="1"/>
  <c r="F40" i="33"/>
  <c r="L40" i="33" s="1"/>
  <c r="L41" i="33" s="1"/>
  <c r="BC49" i="60" l="1"/>
  <c r="BC32" i="60" s="1"/>
  <c r="BC20" i="60"/>
  <c r="BC19" i="60"/>
  <c r="BA35" i="60"/>
  <c r="BA36" i="60"/>
  <c r="BA33" i="60"/>
  <c r="BB48" i="60"/>
  <c r="AY28" i="60"/>
  <c r="AY26" i="60"/>
  <c r="AY25" i="60" s="1"/>
  <c r="AY22" i="60"/>
  <c r="AZ38" i="60"/>
  <c r="AZ23" i="60"/>
  <c r="BD17" i="60"/>
  <c r="BD46" i="60"/>
  <c r="BD44" i="60"/>
  <c r="BD45" i="60"/>
  <c r="BE42" i="60"/>
  <c r="BE91" i="60"/>
  <c r="BA47" i="60"/>
  <c r="BA50" i="60"/>
  <c r="BC156" i="60"/>
  <c r="L84" i="60"/>
  <c r="L99" i="60"/>
  <c r="C157" i="61"/>
  <c r="D150" i="61"/>
  <c r="P114" i="61"/>
  <c r="P115" i="61" s="1"/>
  <c r="P113" i="61"/>
  <c r="P117" i="61" s="1"/>
  <c r="P112" i="61"/>
  <c r="P129" i="61"/>
  <c r="N130" i="61" s="1"/>
  <c r="P119" i="61"/>
  <c r="P118" i="61"/>
  <c r="O85" i="61"/>
  <c r="O135" i="61" s="1"/>
  <c r="O83" i="61"/>
  <c r="O97" i="61"/>
  <c r="BF1" i="60"/>
  <c r="L126" i="60"/>
  <c r="L120" i="60"/>
  <c r="J132" i="60"/>
  <c r="J143" i="60" s="1"/>
  <c r="K135" i="60"/>
  <c r="K136" i="60" s="1"/>
  <c r="L116" i="60"/>
  <c r="L72" i="60"/>
  <c r="K68" i="60"/>
  <c r="L100" i="60"/>
  <c r="L71" i="60"/>
  <c r="C142" i="60"/>
  <c r="D142" i="60" s="1"/>
  <c r="E142" i="60" s="1"/>
  <c r="F142" i="60" s="1"/>
  <c r="G142" i="60" s="1"/>
  <c r="H142" i="60" s="1"/>
  <c r="I142" i="60" s="1"/>
  <c r="C143" i="60"/>
  <c r="C144" i="60" s="1"/>
  <c r="C147" i="60" s="1"/>
  <c r="F63" i="30"/>
  <c r="F65" i="30" s="1"/>
  <c r="F71" i="30" s="1"/>
  <c r="F73" i="30" s="1"/>
  <c r="F92" i="30"/>
  <c r="F94" i="30" s="1"/>
  <c r="F101" i="30" s="1"/>
  <c r="F103" i="30" s="1"/>
  <c r="B9" i="34"/>
  <c r="E52" i="33"/>
  <c r="H41" i="33"/>
  <c r="F41" i="33"/>
  <c r="F52" i="33" s="1"/>
  <c r="E46" i="33"/>
  <c r="D3" i="31"/>
  <c r="BD156" i="60" l="1"/>
  <c r="BB33" i="60"/>
  <c r="BB36" i="60"/>
  <c r="BB35" i="60"/>
  <c r="BE17" i="60"/>
  <c r="BE45" i="60"/>
  <c r="BE46" i="60"/>
  <c r="BE44" i="60"/>
  <c r="BD49" i="60"/>
  <c r="BD32" i="60" s="1"/>
  <c r="BD20" i="60"/>
  <c r="BD19" i="60"/>
  <c r="BA38" i="60"/>
  <c r="BA23" i="60"/>
  <c r="BF42" i="60"/>
  <c r="BF91" i="60"/>
  <c r="AZ26" i="60"/>
  <c r="AZ25" i="60" s="1"/>
  <c r="AZ22" i="60"/>
  <c r="AZ28" i="60"/>
  <c r="BB47" i="60"/>
  <c r="BB50" i="60"/>
  <c r="BC48" i="60"/>
  <c r="D153" i="61"/>
  <c r="D154" i="61" s="1"/>
  <c r="D157" i="61"/>
  <c r="O82" i="61"/>
  <c r="O140" i="61" s="1"/>
  <c r="O146" i="61" s="1"/>
  <c r="O127" i="61"/>
  <c r="N81" i="61"/>
  <c r="N136" i="61" s="1"/>
  <c r="P123" i="61"/>
  <c r="P128" i="61" s="1"/>
  <c r="P120" i="61"/>
  <c r="P74" i="61"/>
  <c r="O98" i="61"/>
  <c r="O101" i="61"/>
  <c r="O102" i="61" s="1"/>
  <c r="BG1" i="60"/>
  <c r="K140" i="60"/>
  <c r="J142" i="60"/>
  <c r="K137" i="60"/>
  <c r="J138" i="60"/>
  <c r="L103" i="60"/>
  <c r="L101" i="60"/>
  <c r="K70" i="60"/>
  <c r="J67" i="60"/>
  <c r="K83" i="60"/>
  <c r="L85" i="60"/>
  <c r="L87" i="60"/>
  <c r="L88" i="60"/>
  <c r="L152" i="60" s="1"/>
  <c r="D144" i="60"/>
  <c r="B4" i="31"/>
  <c r="F4" i="31" s="1"/>
  <c r="F46" i="33"/>
  <c r="B10" i="34"/>
  <c r="B12" i="34" s="1"/>
  <c r="B13" i="34" s="1"/>
  <c r="BC47" i="60" l="1"/>
  <c r="BC50" i="60"/>
  <c r="BF17" i="60"/>
  <c r="BF45" i="60"/>
  <c r="BF46" i="60"/>
  <c r="BF44" i="60"/>
  <c r="BE156" i="60"/>
  <c r="BG42" i="60"/>
  <c r="BG91" i="60"/>
  <c r="BC33" i="60"/>
  <c r="BC36" i="60"/>
  <c r="BC35" i="60"/>
  <c r="BA26" i="60"/>
  <c r="BA25" i="60" s="1"/>
  <c r="BA22" i="60"/>
  <c r="BA28" i="60"/>
  <c r="BB38" i="60"/>
  <c r="BB23" i="60"/>
  <c r="BD48" i="60"/>
  <c r="BE49" i="60"/>
  <c r="BE32" i="60" s="1"/>
  <c r="BE20" i="60"/>
  <c r="BE19" i="60"/>
  <c r="E150" i="61"/>
  <c r="O143" i="61"/>
  <c r="O141" i="61"/>
  <c r="O142" i="61" s="1"/>
  <c r="P126" i="61"/>
  <c r="P125" i="61"/>
  <c r="P132" i="61" s="1"/>
  <c r="P122" i="61"/>
  <c r="N138" i="61"/>
  <c r="N144" i="61"/>
  <c r="P105" i="61"/>
  <c r="P106" i="61" s="1"/>
  <c r="P89" i="61"/>
  <c r="P77" i="61"/>
  <c r="P76" i="61"/>
  <c r="O73" i="61"/>
  <c r="BH1" i="60"/>
  <c r="L150" i="60"/>
  <c r="L94" i="60"/>
  <c r="L95" i="60" s="1"/>
  <c r="L90" i="60"/>
  <c r="L75" i="60"/>
  <c r="L74" i="60" s="1"/>
  <c r="K102" i="60"/>
  <c r="L105" i="60"/>
  <c r="M104" i="60"/>
  <c r="K86" i="60"/>
  <c r="J82" i="60"/>
  <c r="D147" i="60"/>
  <c r="D148" i="60" s="1"/>
  <c r="C148" i="60"/>
  <c r="C151" i="60"/>
  <c r="D4" i="31"/>
  <c r="BD33" i="60" l="1"/>
  <c r="BD36" i="60"/>
  <c r="BD35" i="60"/>
  <c r="BC38" i="60"/>
  <c r="BC23" i="60"/>
  <c r="BF49" i="60"/>
  <c r="BF32" i="60" s="1"/>
  <c r="BF19" i="60"/>
  <c r="BF20" i="60"/>
  <c r="BD47" i="60"/>
  <c r="BD50" i="60"/>
  <c r="BH42" i="60"/>
  <c r="BH91" i="60"/>
  <c r="BB26" i="60"/>
  <c r="BB25" i="60" s="1"/>
  <c r="BB22" i="60"/>
  <c r="BB28" i="60"/>
  <c r="BE48" i="60"/>
  <c r="BG17" i="60"/>
  <c r="BG46" i="60"/>
  <c r="BG45" i="60"/>
  <c r="BG44" i="60"/>
  <c r="BF156" i="60"/>
  <c r="E153" i="61"/>
  <c r="E154" i="61" s="1"/>
  <c r="E157" i="61"/>
  <c r="O75" i="61"/>
  <c r="N72" i="61"/>
  <c r="P109" i="61"/>
  <c r="P107" i="61"/>
  <c r="N149" i="61"/>
  <c r="N148" i="61"/>
  <c r="P93" i="61"/>
  <c r="P158" i="61" s="1"/>
  <c r="P90" i="61"/>
  <c r="O88" i="61"/>
  <c r="P92" i="61"/>
  <c r="M113" i="60"/>
  <c r="M107" i="60"/>
  <c r="M111" i="60" s="1"/>
  <c r="M106" i="60"/>
  <c r="M112" i="60"/>
  <c r="M117" i="60" s="1"/>
  <c r="M122" i="60" s="1"/>
  <c r="M108" i="60"/>
  <c r="M109" i="60" s="1"/>
  <c r="M123" i="60"/>
  <c r="K124" i="60" s="1"/>
  <c r="L78" i="60"/>
  <c r="K76" i="60" s="1"/>
  <c r="L92" i="60"/>
  <c r="L93" i="60" s="1"/>
  <c r="L80" i="60"/>
  <c r="L129" i="60" s="1"/>
  <c r="E144" i="60"/>
  <c r="E147" i="60" s="1"/>
  <c r="E148" i="60" s="1"/>
  <c r="D151" i="60"/>
  <c r="B5" i="31"/>
  <c r="F5" i="31" s="1"/>
  <c r="F6" i="31" s="1"/>
  <c r="F26" i="28" s="1"/>
  <c r="F28" i="28" s="1"/>
  <c r="BH17" i="60" l="1"/>
  <c r="BH45" i="60"/>
  <c r="BH44" i="60"/>
  <c r="BH46" i="60"/>
  <c r="BG49" i="60"/>
  <c r="BG32" i="60" s="1"/>
  <c r="BG19" i="60"/>
  <c r="BG20" i="60"/>
  <c r="BE47" i="60"/>
  <c r="BE50" i="60"/>
  <c r="BF48" i="60"/>
  <c r="BG156" i="60"/>
  <c r="BE33" i="60"/>
  <c r="BE36" i="60"/>
  <c r="BE35" i="60"/>
  <c r="BC22" i="60"/>
  <c r="BC26" i="60"/>
  <c r="BC25" i="60" s="1"/>
  <c r="BC28" i="60"/>
  <c r="BD38" i="60"/>
  <c r="BD23" i="60"/>
  <c r="F150" i="61"/>
  <c r="F153" i="61"/>
  <c r="F154" i="61" s="1"/>
  <c r="O91" i="61"/>
  <c r="N87" i="61"/>
  <c r="P111" i="61"/>
  <c r="O108" i="61"/>
  <c r="Q110" i="61"/>
  <c r="P95" i="61"/>
  <c r="P99" i="61"/>
  <c r="P100" i="61" s="1"/>
  <c r="P80" i="61"/>
  <c r="K130" i="60"/>
  <c r="L77" i="60"/>
  <c r="L134" i="60" s="1"/>
  <c r="L121" i="60"/>
  <c r="L96" i="60"/>
  <c r="L97" i="60" s="1"/>
  <c r="M69" i="60"/>
  <c r="M114" i="60"/>
  <c r="M119" i="60" s="1"/>
  <c r="F144" i="60"/>
  <c r="F147" i="60" s="1"/>
  <c r="F148" i="60" s="1"/>
  <c r="E151" i="60"/>
  <c r="D5" i="31"/>
  <c r="BF47" i="60" l="1"/>
  <c r="BF50" i="60"/>
  <c r="BE38" i="60"/>
  <c r="BE23" i="60"/>
  <c r="BF36" i="60"/>
  <c r="BF33" i="60"/>
  <c r="BF35" i="60"/>
  <c r="BD26" i="60"/>
  <c r="BD25" i="60" s="1"/>
  <c r="BD22" i="60"/>
  <c r="BD28" i="60"/>
  <c r="BG48" i="60"/>
  <c r="BH49" i="60"/>
  <c r="BH32" i="60" s="1"/>
  <c r="BH20" i="60"/>
  <c r="BH19" i="60"/>
  <c r="M84" i="60"/>
  <c r="M99" i="60"/>
  <c r="M100" i="60" s="1"/>
  <c r="G150" i="61"/>
  <c r="F157" i="61"/>
  <c r="P83" i="61"/>
  <c r="P85" i="61"/>
  <c r="P135" i="61" s="1"/>
  <c r="P97" i="61"/>
  <c r="Q129" i="61"/>
  <c r="O130" i="61" s="1"/>
  <c r="Q119" i="61"/>
  <c r="Q114" i="61"/>
  <c r="Q115" i="61" s="1"/>
  <c r="Q112" i="61"/>
  <c r="Q118" i="61"/>
  <c r="Q113" i="61"/>
  <c r="Q117" i="61" s="1"/>
  <c r="P79" i="61"/>
  <c r="M126" i="60"/>
  <c r="M120" i="60"/>
  <c r="L140" i="60"/>
  <c r="M116" i="60"/>
  <c r="L68" i="60"/>
  <c r="M71" i="60"/>
  <c r="M72" i="60"/>
  <c r="K132" i="60"/>
  <c r="K138" i="60"/>
  <c r="G144" i="60"/>
  <c r="F151" i="60"/>
  <c r="BG36" i="60" l="1"/>
  <c r="BG33" i="60"/>
  <c r="BG35" i="60"/>
  <c r="BF38" i="60"/>
  <c r="BF23" i="60"/>
  <c r="BH48" i="60"/>
  <c r="BG47" i="60"/>
  <c r="BG50" i="60"/>
  <c r="BE26" i="60"/>
  <c r="BE25" i="60" s="1"/>
  <c r="BE22" i="60"/>
  <c r="BE28" i="60"/>
  <c r="G153" i="61"/>
  <c r="G154" i="61" s="1"/>
  <c r="H150" i="61"/>
  <c r="Q123" i="61"/>
  <c r="Q128" i="61" s="1"/>
  <c r="Q74" i="61"/>
  <c r="Q120" i="61"/>
  <c r="P98" i="61"/>
  <c r="P101" i="61"/>
  <c r="P102" i="61" s="1"/>
  <c r="P82" i="61"/>
  <c r="P140" i="61" s="1"/>
  <c r="P146" i="61" s="1"/>
  <c r="P127" i="61"/>
  <c r="O81" i="61"/>
  <c r="O136" i="61" s="1"/>
  <c r="L135" i="60"/>
  <c r="L136" i="60" s="1"/>
  <c r="L137" i="60"/>
  <c r="K143" i="60"/>
  <c r="K142" i="60"/>
  <c r="M85" i="60"/>
  <c r="M87" i="60"/>
  <c r="M88" i="60"/>
  <c r="M152" i="60" s="1"/>
  <c r="L83" i="60"/>
  <c r="K67" i="60"/>
  <c r="L70" i="60"/>
  <c r="M103" i="60"/>
  <c r="M101" i="60"/>
  <c r="G147" i="60"/>
  <c r="G148" i="60" s="1"/>
  <c r="BH36" i="60" l="1"/>
  <c r="BH33" i="60"/>
  <c r="BH35" i="60"/>
  <c r="BH47" i="60"/>
  <c r="BH50" i="60"/>
  <c r="BG38" i="60"/>
  <c r="BG23" i="60"/>
  <c r="BF26" i="60"/>
  <c r="BF25" i="60" s="1"/>
  <c r="BF22" i="60"/>
  <c r="BF28" i="60"/>
  <c r="G157" i="61"/>
  <c r="H153" i="61"/>
  <c r="H154" i="61" s="1"/>
  <c r="P143" i="61"/>
  <c r="Q125" i="61"/>
  <c r="Q132" i="61" s="1"/>
  <c r="Q122" i="61"/>
  <c r="Q126" i="61"/>
  <c r="O138" i="61"/>
  <c r="O144" i="61"/>
  <c r="Q89" i="61"/>
  <c r="Q76" i="61"/>
  <c r="Q77" i="61"/>
  <c r="P73" i="61"/>
  <c r="Q105" i="61"/>
  <c r="Q106" i="61" s="1"/>
  <c r="P141" i="61"/>
  <c r="P142" i="61" s="1"/>
  <c r="M150" i="60"/>
  <c r="M90" i="60"/>
  <c r="M94" i="60"/>
  <c r="M95" i="60" s="1"/>
  <c r="M75" i="60"/>
  <c r="L86" i="60"/>
  <c r="K82" i="60"/>
  <c r="M105" i="60"/>
  <c r="L102" i="60"/>
  <c r="N104" i="60"/>
  <c r="H144" i="60"/>
  <c r="H147" i="60" s="1"/>
  <c r="H148" i="60" s="1"/>
  <c r="G151" i="60"/>
  <c r="BG26" i="60" l="1"/>
  <c r="BG25" i="60" s="1"/>
  <c r="BG22" i="60"/>
  <c r="BG28" i="60"/>
  <c r="BH38" i="60"/>
  <c r="BH23" i="60"/>
  <c r="I150" i="61"/>
  <c r="H157" i="61"/>
  <c r="I153" i="61"/>
  <c r="I154" i="61" s="1"/>
  <c r="I157" i="61"/>
  <c r="Q109" i="61"/>
  <c r="Q107" i="61"/>
  <c r="O72" i="61"/>
  <c r="P75" i="61"/>
  <c r="O149" i="61"/>
  <c r="O148" i="61"/>
  <c r="Q93" i="61"/>
  <c r="Q158" i="61" s="1"/>
  <c r="P88" i="61"/>
  <c r="Q92" i="61"/>
  <c r="Q90" i="61"/>
  <c r="N112" i="60"/>
  <c r="N117" i="60" s="1"/>
  <c r="N122" i="60" s="1"/>
  <c r="N108" i="60"/>
  <c r="N109" i="60" s="1"/>
  <c r="N107" i="60"/>
  <c r="N111" i="60" s="1"/>
  <c r="N113" i="60"/>
  <c r="N123" i="60"/>
  <c r="L124" i="60" s="1"/>
  <c r="N106" i="60"/>
  <c r="M74" i="60"/>
  <c r="M78" i="60"/>
  <c r="L76" i="60" s="1"/>
  <c r="M92" i="60"/>
  <c r="M93" i="60" s="1"/>
  <c r="M80" i="60"/>
  <c r="M129" i="60" s="1"/>
  <c r="H151" i="60"/>
  <c r="I144" i="60"/>
  <c r="I147" i="60" s="1"/>
  <c r="BH26" i="60" l="1"/>
  <c r="BH25" i="60" s="1"/>
  <c r="BH22" i="60"/>
  <c r="BH28" i="60"/>
  <c r="J150" i="61"/>
  <c r="J153" i="61"/>
  <c r="J154" i="61" s="1"/>
  <c r="P108" i="61"/>
  <c r="Q111" i="61"/>
  <c r="R110" i="61"/>
  <c r="P91" i="61"/>
  <c r="O87" i="61"/>
  <c r="Q95" i="61"/>
  <c r="Q99" i="61"/>
  <c r="Q100" i="61" s="1"/>
  <c r="Q80" i="61"/>
  <c r="Q79" i="61" s="1"/>
  <c r="L130" i="60"/>
  <c r="M77" i="60"/>
  <c r="M134" i="60" s="1"/>
  <c r="M121" i="60"/>
  <c r="M96" i="60"/>
  <c r="M97" i="60" s="1"/>
  <c r="N114" i="60"/>
  <c r="N119" i="60" s="1"/>
  <c r="N69" i="60"/>
  <c r="I148" i="60"/>
  <c r="J144" i="60"/>
  <c r="J147" i="60" s="1"/>
  <c r="J148" i="60" s="1"/>
  <c r="I151" i="60"/>
  <c r="N84" i="60" l="1"/>
  <c r="N99" i="60"/>
  <c r="N100" i="60" s="1"/>
  <c r="K150" i="61"/>
  <c r="J157" i="61"/>
  <c r="R129" i="61"/>
  <c r="P130" i="61" s="1"/>
  <c r="R119" i="61"/>
  <c r="R118" i="61"/>
  <c r="R112" i="61"/>
  <c r="R113" i="61"/>
  <c r="R117" i="61" s="1"/>
  <c r="R114" i="61"/>
  <c r="R115" i="61" s="1"/>
  <c r="Q83" i="61"/>
  <c r="Q85" i="61"/>
  <c r="Q135" i="61" s="1"/>
  <c r="Q97" i="61"/>
  <c r="N126" i="60"/>
  <c r="N120" i="60"/>
  <c r="N71" i="60"/>
  <c r="N72" i="60"/>
  <c r="M68" i="60"/>
  <c r="N116" i="60"/>
  <c r="L132" i="60"/>
  <c r="L138" i="60"/>
  <c r="J151" i="60"/>
  <c r="K144" i="60"/>
  <c r="K153" i="61" l="1"/>
  <c r="K154" i="61" s="1"/>
  <c r="K157" i="61"/>
  <c r="Q82" i="61"/>
  <c r="Q140" i="61" s="1"/>
  <c r="Q146" i="61" s="1"/>
  <c r="Q127" i="61"/>
  <c r="P81" i="61"/>
  <c r="P136" i="61" s="1"/>
  <c r="R120" i="61"/>
  <c r="R123" i="61"/>
  <c r="R128" i="61" s="1"/>
  <c r="R74" i="61"/>
  <c r="Q101" i="61"/>
  <c r="Q102" i="61" s="1"/>
  <c r="Q98" i="61"/>
  <c r="L143" i="60"/>
  <c r="L142" i="60"/>
  <c r="N85" i="60"/>
  <c r="M83" i="60"/>
  <c r="N88" i="60"/>
  <c r="N152" i="60" s="1"/>
  <c r="N87" i="60"/>
  <c r="M140" i="60"/>
  <c r="M135" i="60"/>
  <c r="M136" i="60" s="1"/>
  <c r="M137" i="60"/>
  <c r="L67" i="60"/>
  <c r="M70" i="60"/>
  <c r="N103" i="60"/>
  <c r="N101" i="60"/>
  <c r="K147" i="60"/>
  <c r="K148" i="60" s="1"/>
  <c r="L150" i="61" l="1"/>
  <c r="Q73" i="61"/>
  <c r="R89" i="61"/>
  <c r="R77" i="61"/>
  <c r="R76" i="61"/>
  <c r="R105" i="61"/>
  <c r="R106" i="61" s="1"/>
  <c r="R122" i="61"/>
  <c r="R125" i="61"/>
  <c r="R132" i="61" s="1"/>
  <c r="R126" i="61"/>
  <c r="P138" i="61"/>
  <c r="P144" i="61"/>
  <c r="Q141" i="61"/>
  <c r="Q142" i="61" s="1"/>
  <c r="Q143" i="61"/>
  <c r="N94" i="60"/>
  <c r="N95" i="60" s="1"/>
  <c r="N90" i="60"/>
  <c r="N75" i="60"/>
  <c r="M102" i="60"/>
  <c r="N105" i="60"/>
  <c r="O104" i="60"/>
  <c r="M86" i="60"/>
  <c r="L82" i="60"/>
  <c r="N150" i="60"/>
  <c r="L144" i="60"/>
  <c r="L147" i="60" s="1"/>
  <c r="L148" i="60" s="1"/>
  <c r="K151" i="60"/>
  <c r="L153" i="61" l="1"/>
  <c r="L154" i="61" s="1"/>
  <c r="L157" i="61"/>
  <c r="R109" i="61"/>
  <c r="R107" i="61"/>
  <c r="R93" i="61"/>
  <c r="R158" i="61" s="1"/>
  <c r="R90" i="61"/>
  <c r="Q88" i="61"/>
  <c r="R92" i="61"/>
  <c r="P149" i="61"/>
  <c r="P148" i="61"/>
  <c r="P72" i="61"/>
  <c r="Q75" i="61"/>
  <c r="O107" i="60"/>
  <c r="O111" i="60" s="1"/>
  <c r="O123" i="60"/>
  <c r="M124" i="60" s="1"/>
  <c r="O113" i="60"/>
  <c r="O112" i="60"/>
  <c r="O117" i="60" s="1"/>
  <c r="O122" i="60" s="1"/>
  <c r="O106" i="60"/>
  <c r="O108" i="60"/>
  <c r="O109" i="60" s="1"/>
  <c r="N80" i="60"/>
  <c r="N129" i="60" s="1"/>
  <c r="N78" i="60"/>
  <c r="M76" i="60" s="1"/>
  <c r="N92" i="60"/>
  <c r="N93" i="60" s="1"/>
  <c r="N74" i="60"/>
  <c r="L151" i="60"/>
  <c r="M150" i="61" l="1"/>
  <c r="M153" i="61"/>
  <c r="M154" i="61" s="1"/>
  <c r="Q91" i="61"/>
  <c r="P87" i="61"/>
  <c r="R95" i="61"/>
  <c r="R99" i="61"/>
  <c r="R100" i="61" s="1"/>
  <c r="R80" i="61"/>
  <c r="R79" i="61" s="1"/>
  <c r="Q108" i="61"/>
  <c r="R111" i="61"/>
  <c r="S110" i="61"/>
  <c r="N96" i="60"/>
  <c r="N97" i="60" s="1"/>
  <c r="N77" i="60"/>
  <c r="N134" i="60" s="1"/>
  <c r="N121" i="60"/>
  <c r="M130" i="60"/>
  <c r="O114" i="60"/>
  <c r="O119" i="60" s="1"/>
  <c r="O69" i="60"/>
  <c r="O84" i="60" l="1"/>
  <c r="O99" i="60"/>
  <c r="O100" i="60" s="1"/>
  <c r="N150" i="61"/>
  <c r="M157" i="61"/>
  <c r="R85" i="61"/>
  <c r="R135" i="61" s="1"/>
  <c r="R83" i="61"/>
  <c r="R97" i="61"/>
  <c r="S118" i="61"/>
  <c r="S113" i="61"/>
  <c r="S117" i="61" s="1"/>
  <c r="S129" i="61"/>
  <c r="Q130" i="61" s="1"/>
  <c r="S114" i="61"/>
  <c r="S115" i="61" s="1"/>
  <c r="S112" i="61"/>
  <c r="S119" i="61"/>
  <c r="O126" i="60"/>
  <c r="O120" i="60"/>
  <c r="N140" i="60"/>
  <c r="M132" i="60"/>
  <c r="M138" i="60"/>
  <c r="O71" i="60"/>
  <c r="O72" i="60"/>
  <c r="N68" i="60"/>
  <c r="O116" i="60"/>
  <c r="N153" i="61" l="1"/>
  <c r="N154" i="61" s="1"/>
  <c r="N157" i="61"/>
  <c r="S123" i="61"/>
  <c r="S128" i="61" s="1"/>
  <c r="S120" i="61"/>
  <c r="S74" i="61"/>
  <c r="R101" i="61"/>
  <c r="R102" i="61" s="1"/>
  <c r="R98" i="61"/>
  <c r="R82" i="61"/>
  <c r="R140" i="61" s="1"/>
  <c r="R146" i="61" s="1"/>
  <c r="R127" i="61"/>
  <c r="Q81" i="61"/>
  <c r="Q136" i="61" s="1"/>
  <c r="N137" i="60"/>
  <c r="N135" i="60"/>
  <c r="N136" i="60" s="1"/>
  <c r="N70" i="60"/>
  <c r="M67" i="60"/>
  <c r="O85" i="60"/>
  <c r="O87" i="60"/>
  <c r="O88" i="60"/>
  <c r="O152" i="60" s="1"/>
  <c r="N83" i="60"/>
  <c r="O103" i="60"/>
  <c r="O101" i="60"/>
  <c r="O150" i="60"/>
  <c r="M143" i="60"/>
  <c r="M144" i="60" s="1"/>
  <c r="M142" i="60"/>
  <c r="O150" i="61" l="1"/>
  <c r="O153" i="61"/>
  <c r="O154" i="61" s="1"/>
  <c r="R143" i="61"/>
  <c r="R141" i="61"/>
  <c r="R142" i="61" s="1"/>
  <c r="S126" i="61"/>
  <c r="S122" i="61"/>
  <c r="S125" i="61"/>
  <c r="S132" i="61" s="1"/>
  <c r="Q138" i="61"/>
  <c r="Q144" i="61"/>
  <c r="S89" i="61"/>
  <c r="S77" i="61"/>
  <c r="S76" i="61"/>
  <c r="R73" i="61"/>
  <c r="S105" i="61"/>
  <c r="S106" i="61" s="1"/>
  <c r="O90" i="60"/>
  <c r="O94" i="60"/>
  <c r="O95" i="60" s="1"/>
  <c r="O75" i="60"/>
  <c r="O74" i="60" s="1"/>
  <c r="N86" i="60"/>
  <c r="M82" i="60"/>
  <c r="M147" i="60"/>
  <c r="O105" i="60"/>
  <c r="N102" i="60"/>
  <c r="P104" i="60"/>
  <c r="P150" i="61" l="1"/>
  <c r="O157" i="61"/>
  <c r="P153" i="61"/>
  <c r="P154" i="61" s="1"/>
  <c r="Q72" i="61"/>
  <c r="R75" i="61"/>
  <c r="S92" i="61"/>
  <c r="S90" i="61"/>
  <c r="R88" i="61"/>
  <c r="S93" i="61"/>
  <c r="S158" i="61" s="1"/>
  <c r="S109" i="61"/>
  <c r="S107" i="61"/>
  <c r="Q149" i="61"/>
  <c r="Q148" i="61"/>
  <c r="M151" i="60"/>
  <c r="M148" i="60"/>
  <c r="O80" i="60"/>
  <c r="O129" i="60" s="1"/>
  <c r="O78" i="60"/>
  <c r="N76" i="60" s="1"/>
  <c r="O92" i="60"/>
  <c r="O93" i="60" s="1"/>
  <c r="P106" i="60"/>
  <c r="P123" i="60"/>
  <c r="N124" i="60" s="1"/>
  <c r="P108" i="60"/>
  <c r="P109" i="60" s="1"/>
  <c r="P107" i="60"/>
  <c r="P111" i="60" s="1"/>
  <c r="P112" i="60"/>
  <c r="P117" i="60" s="1"/>
  <c r="P122" i="60" s="1"/>
  <c r="P113" i="60"/>
  <c r="P157" i="61" l="1"/>
  <c r="Q150" i="61"/>
  <c r="S111" i="61"/>
  <c r="R108" i="61"/>
  <c r="T110" i="61"/>
  <c r="Q153" i="61"/>
  <c r="Q87" i="61"/>
  <c r="R91" i="61"/>
  <c r="S95" i="61"/>
  <c r="S99" i="61"/>
  <c r="S100" i="61" s="1"/>
  <c r="S80" i="61"/>
  <c r="S79" i="61" s="1"/>
  <c r="N130" i="60"/>
  <c r="O121" i="60"/>
  <c r="O77" i="60"/>
  <c r="O134" i="60" s="1"/>
  <c r="P114" i="60"/>
  <c r="P119" i="60" s="1"/>
  <c r="P69" i="60"/>
  <c r="O96" i="60"/>
  <c r="O97" i="60" s="1"/>
  <c r="P84" i="60" l="1"/>
  <c r="P99" i="60"/>
  <c r="P100" i="60" s="1"/>
  <c r="T114" i="61"/>
  <c r="T115" i="61" s="1"/>
  <c r="T113" i="61"/>
  <c r="T117" i="61" s="1"/>
  <c r="T112" i="61"/>
  <c r="T119" i="61"/>
  <c r="T129" i="61"/>
  <c r="R130" i="61" s="1"/>
  <c r="T118" i="61"/>
  <c r="S83" i="61"/>
  <c r="S85" i="61"/>
  <c r="S135" i="61" s="1"/>
  <c r="S97" i="61"/>
  <c r="Q154" i="61"/>
  <c r="Q157" i="61"/>
  <c r="P126" i="60"/>
  <c r="P120" i="60"/>
  <c r="O140" i="60"/>
  <c r="P116" i="60"/>
  <c r="P71" i="60"/>
  <c r="O68" i="60"/>
  <c r="P72" i="60"/>
  <c r="N132" i="60"/>
  <c r="N138" i="60"/>
  <c r="S82" i="61" l="1"/>
  <c r="S140" i="61" s="1"/>
  <c r="S146" i="61" s="1"/>
  <c r="S127" i="61"/>
  <c r="R81" i="61"/>
  <c r="R136" i="61" s="1"/>
  <c r="T123" i="61"/>
  <c r="T128" i="61" s="1"/>
  <c r="T74" i="61"/>
  <c r="T120" i="61"/>
  <c r="S101" i="61"/>
  <c r="S102" i="61" s="1"/>
  <c r="S98" i="61"/>
  <c r="O135" i="60"/>
  <c r="O136" i="60" s="1"/>
  <c r="O137" i="60"/>
  <c r="N143" i="60"/>
  <c r="N144" i="60" s="1"/>
  <c r="N147" i="60" s="1"/>
  <c r="N148" i="60" s="1"/>
  <c r="N142" i="60"/>
  <c r="O70" i="60"/>
  <c r="N67" i="60"/>
  <c r="P103" i="60"/>
  <c r="P101" i="60"/>
  <c r="P85" i="60"/>
  <c r="P87" i="60"/>
  <c r="O83" i="60"/>
  <c r="P88" i="60"/>
  <c r="P152" i="60" s="1"/>
  <c r="T125" i="61" l="1"/>
  <c r="T132" i="61" s="1"/>
  <c r="T126" i="61"/>
  <c r="T122" i="61"/>
  <c r="S141" i="61"/>
  <c r="S142" i="61" s="1"/>
  <c r="T77" i="61"/>
  <c r="S73" i="61"/>
  <c r="T89" i="61"/>
  <c r="T76" i="61"/>
  <c r="T105" i="61"/>
  <c r="T106" i="61" s="1"/>
  <c r="R138" i="61"/>
  <c r="R144" i="61"/>
  <c r="S143" i="61"/>
  <c r="P105" i="60"/>
  <c r="O102" i="60"/>
  <c r="Q104" i="60"/>
  <c r="N151" i="60"/>
  <c r="P90" i="60"/>
  <c r="P94" i="60"/>
  <c r="P95" i="60" s="1"/>
  <c r="P75" i="60"/>
  <c r="P74" i="60" s="1"/>
  <c r="N82" i="60"/>
  <c r="O86" i="60"/>
  <c r="P150" i="60"/>
  <c r="T109" i="61" l="1"/>
  <c r="T107" i="61"/>
  <c r="S75" i="61"/>
  <c r="R72" i="61"/>
  <c r="R149" i="61"/>
  <c r="R150" i="61" s="1"/>
  <c r="R148" i="61"/>
  <c r="T93" i="61"/>
  <c r="T158" i="61" s="1"/>
  <c r="T90" i="61"/>
  <c r="T92" i="61"/>
  <c r="S88" i="61"/>
  <c r="Q123" i="60"/>
  <c r="O124" i="60" s="1"/>
  <c r="Q112" i="60"/>
  <c r="Q117" i="60" s="1"/>
  <c r="Q122" i="60" s="1"/>
  <c r="Q113" i="60"/>
  <c r="Q106" i="60"/>
  <c r="Q107" i="60"/>
  <c r="Q111" i="60" s="1"/>
  <c r="Q108" i="60"/>
  <c r="Q109" i="60" s="1"/>
  <c r="P80" i="60"/>
  <c r="P129" i="60" s="1"/>
  <c r="P92" i="60"/>
  <c r="P93" i="60" s="1"/>
  <c r="P78" i="60"/>
  <c r="O76" i="60" s="1"/>
  <c r="T95" i="61" l="1"/>
  <c r="T99" i="61"/>
  <c r="T100" i="61" s="1"/>
  <c r="T80" i="61"/>
  <c r="S91" i="61"/>
  <c r="R87" i="61"/>
  <c r="T111" i="61"/>
  <c r="S108" i="61"/>
  <c r="U110" i="61"/>
  <c r="R153" i="61"/>
  <c r="Q69" i="60"/>
  <c r="Q114" i="60"/>
  <c r="Q119" i="60" s="1"/>
  <c r="O130" i="60"/>
  <c r="P121" i="60"/>
  <c r="P77" i="60"/>
  <c r="P134" i="60" s="1"/>
  <c r="P96" i="60"/>
  <c r="P97" i="60" s="1"/>
  <c r="Q84" i="60" l="1"/>
  <c r="Q99" i="60"/>
  <c r="Q100" i="60" s="1"/>
  <c r="R154" i="61"/>
  <c r="R157" i="61"/>
  <c r="T85" i="61"/>
  <c r="T135" i="61" s="1"/>
  <c r="T83" i="61"/>
  <c r="T97" i="61"/>
  <c r="U129" i="61"/>
  <c r="S130" i="61" s="1"/>
  <c r="U119" i="61"/>
  <c r="U114" i="61"/>
  <c r="U115" i="61" s="1"/>
  <c r="U112" i="61"/>
  <c r="U113" i="61"/>
  <c r="U117" i="61" s="1"/>
  <c r="U118" i="61"/>
  <c r="T79" i="61"/>
  <c r="Q126" i="60"/>
  <c r="Q120" i="60"/>
  <c r="P140" i="60"/>
  <c r="Q116" i="60"/>
  <c r="P68" i="60"/>
  <c r="Q72" i="60"/>
  <c r="Q71" i="60"/>
  <c r="O132" i="60"/>
  <c r="O138" i="60"/>
  <c r="T98" i="61" l="1"/>
  <c r="T101" i="61"/>
  <c r="T102" i="61" s="1"/>
  <c r="T82" i="61"/>
  <c r="T140" i="61" s="1"/>
  <c r="T146" i="61" s="1"/>
  <c r="T127" i="61"/>
  <c r="S81" i="61"/>
  <c r="S136" i="61" s="1"/>
  <c r="U74" i="61"/>
  <c r="U123" i="61"/>
  <c r="U128" i="61" s="1"/>
  <c r="U120" i="61"/>
  <c r="P137" i="60"/>
  <c r="P135" i="60"/>
  <c r="P136" i="60" s="1"/>
  <c r="Q103" i="60"/>
  <c r="Q101" i="60"/>
  <c r="O67" i="60"/>
  <c r="P70" i="60"/>
  <c r="O142" i="60"/>
  <c r="O143" i="60"/>
  <c r="O144" i="60" s="1"/>
  <c r="O147" i="60" s="1"/>
  <c r="O148" i="60" s="1"/>
  <c r="Q88" i="60"/>
  <c r="Q152" i="60" s="1"/>
  <c r="Q87" i="60"/>
  <c r="Q85" i="60"/>
  <c r="P83" i="60"/>
  <c r="T143" i="61" l="1"/>
  <c r="U89" i="61"/>
  <c r="U76" i="61"/>
  <c r="U77" i="61"/>
  <c r="T73" i="61"/>
  <c r="U105" i="61"/>
  <c r="U106" i="61" s="1"/>
  <c r="U125" i="61"/>
  <c r="U132" i="61" s="1"/>
  <c r="U122" i="61"/>
  <c r="U126" i="61"/>
  <c r="T141" i="61"/>
  <c r="T142" i="61" s="1"/>
  <c r="S138" i="61"/>
  <c r="S144" i="61"/>
  <c r="Q105" i="60"/>
  <c r="P102" i="60"/>
  <c r="R104" i="60"/>
  <c r="O151" i="60"/>
  <c r="P86" i="60"/>
  <c r="O82" i="60"/>
  <c r="Q90" i="60"/>
  <c r="Q94" i="60"/>
  <c r="Q95" i="60" s="1"/>
  <c r="Q75" i="60"/>
  <c r="Q150" i="60"/>
  <c r="U109" i="61" l="1"/>
  <c r="U107" i="61"/>
  <c r="S72" i="61"/>
  <c r="T75" i="61"/>
  <c r="S149" i="61"/>
  <c r="S150" i="61" s="1"/>
  <c r="S148" i="61"/>
  <c r="U93" i="61"/>
  <c r="U158" i="61" s="1"/>
  <c r="T88" i="61"/>
  <c r="U92" i="61"/>
  <c r="U90" i="61"/>
  <c r="Q80" i="60"/>
  <c r="Q129" i="60" s="1"/>
  <c r="Q78" i="60"/>
  <c r="P76" i="60" s="1"/>
  <c r="Q92" i="60"/>
  <c r="Q93" i="60" s="1"/>
  <c r="R108" i="60"/>
  <c r="R109" i="60" s="1"/>
  <c r="R107" i="60"/>
  <c r="R111" i="60" s="1"/>
  <c r="R112" i="60"/>
  <c r="R117" i="60" s="1"/>
  <c r="R122" i="60" s="1"/>
  <c r="R113" i="60"/>
  <c r="R106" i="60"/>
  <c r="R123" i="60"/>
  <c r="P124" i="60" s="1"/>
  <c r="Q74" i="60"/>
  <c r="S153" i="61" l="1"/>
  <c r="S154" i="61" s="1"/>
  <c r="T108" i="61"/>
  <c r="U111" i="61"/>
  <c r="V110" i="61"/>
  <c r="U95" i="61"/>
  <c r="U99" i="61"/>
  <c r="U100" i="61" s="1"/>
  <c r="U80" i="61"/>
  <c r="T91" i="61"/>
  <c r="S87" i="61"/>
  <c r="Q96" i="60"/>
  <c r="Q97" i="60" s="1"/>
  <c r="R69" i="60"/>
  <c r="R114" i="60"/>
  <c r="R119" i="60" s="1"/>
  <c r="Q77" i="60"/>
  <c r="Q134" i="60" s="1"/>
  <c r="Q121" i="60"/>
  <c r="P130" i="60"/>
  <c r="R84" i="60" l="1"/>
  <c r="R99" i="60"/>
  <c r="R100" i="60" s="1"/>
  <c r="U83" i="61"/>
  <c r="U85" i="61"/>
  <c r="U135" i="61" s="1"/>
  <c r="U97" i="61"/>
  <c r="S157" i="61"/>
  <c r="U79" i="61"/>
  <c r="V118" i="61"/>
  <c r="V114" i="61"/>
  <c r="V115" i="61" s="1"/>
  <c r="V112" i="61"/>
  <c r="V119" i="61"/>
  <c r="V129" i="61"/>
  <c r="T130" i="61" s="1"/>
  <c r="V113" i="61"/>
  <c r="V117" i="61" s="1"/>
  <c r="R126" i="60"/>
  <c r="R120" i="60"/>
  <c r="Q140" i="60"/>
  <c r="P132" i="60"/>
  <c r="P138" i="60"/>
  <c r="R71" i="60"/>
  <c r="Q68" i="60"/>
  <c r="R72" i="60"/>
  <c r="R116" i="60"/>
  <c r="U98" i="61" l="1"/>
  <c r="U101" i="61"/>
  <c r="U102" i="61" s="1"/>
  <c r="V123" i="61"/>
  <c r="V128" i="61" s="1"/>
  <c r="V120" i="61"/>
  <c r="V74" i="61"/>
  <c r="U82" i="61"/>
  <c r="U140" i="61" s="1"/>
  <c r="U146" i="61" s="1"/>
  <c r="U127" i="61"/>
  <c r="T81" i="61"/>
  <c r="T136" i="61" s="1"/>
  <c r="Q135" i="60"/>
  <c r="Q136" i="60" s="1"/>
  <c r="Q137" i="60"/>
  <c r="R103" i="60"/>
  <c r="R101" i="60"/>
  <c r="Q70" i="60"/>
  <c r="P67" i="60"/>
  <c r="R88" i="60"/>
  <c r="R152" i="60" s="1"/>
  <c r="Q83" i="60"/>
  <c r="R87" i="60"/>
  <c r="R85" i="60"/>
  <c r="P143" i="60"/>
  <c r="P144" i="60" s="1"/>
  <c r="P147" i="60" s="1"/>
  <c r="P148" i="60" s="1"/>
  <c r="P142" i="60"/>
  <c r="U141" i="61" l="1"/>
  <c r="U142" i="61" s="1"/>
  <c r="U143" i="61"/>
  <c r="T138" i="61"/>
  <c r="T144" i="61"/>
  <c r="V126" i="61"/>
  <c r="V125" i="61"/>
  <c r="V132" i="61" s="1"/>
  <c r="V122" i="61"/>
  <c r="U73" i="61"/>
  <c r="V77" i="61"/>
  <c r="V76" i="61"/>
  <c r="V89" i="61"/>
  <c r="V105" i="61"/>
  <c r="V106" i="61" s="1"/>
  <c r="P151" i="60"/>
  <c r="R90" i="60"/>
  <c r="R94" i="60"/>
  <c r="R95" i="60" s="1"/>
  <c r="R75" i="60"/>
  <c r="R74" i="60" s="1"/>
  <c r="Q102" i="60"/>
  <c r="R105" i="60"/>
  <c r="S104" i="60"/>
  <c r="P82" i="60"/>
  <c r="Q86" i="60"/>
  <c r="R150" i="60"/>
  <c r="V92" i="61" l="1"/>
  <c r="V90" i="61"/>
  <c r="U88" i="61"/>
  <c r="V93" i="61"/>
  <c r="V158" i="61" s="1"/>
  <c r="V109" i="61"/>
  <c r="V107" i="61"/>
  <c r="U75" i="61"/>
  <c r="T72" i="61"/>
  <c r="T149" i="61"/>
  <c r="T150" i="61" s="1"/>
  <c r="T148" i="61"/>
  <c r="S113" i="60"/>
  <c r="S112" i="60"/>
  <c r="S117" i="60" s="1"/>
  <c r="S122" i="60" s="1"/>
  <c r="S107" i="60"/>
  <c r="S111" i="60" s="1"/>
  <c r="S106" i="60"/>
  <c r="S123" i="60"/>
  <c r="Q124" i="60" s="1"/>
  <c r="S108" i="60"/>
  <c r="S109" i="60" s="1"/>
  <c r="R78" i="60"/>
  <c r="Q76" i="60" s="1"/>
  <c r="R80" i="60"/>
  <c r="R129" i="60" s="1"/>
  <c r="R92" i="60"/>
  <c r="R93" i="60" s="1"/>
  <c r="U108" i="61" l="1"/>
  <c r="V111" i="61"/>
  <c r="W110" i="61"/>
  <c r="T153" i="61"/>
  <c r="U91" i="61"/>
  <c r="T87" i="61"/>
  <c r="V95" i="61"/>
  <c r="V99" i="61"/>
  <c r="V100" i="61" s="1"/>
  <c r="V80" i="61"/>
  <c r="V79" i="61" s="1"/>
  <c r="Q130" i="60"/>
  <c r="R121" i="60"/>
  <c r="R77" i="60"/>
  <c r="R134" i="60" s="1"/>
  <c r="S69" i="60"/>
  <c r="S114" i="60"/>
  <c r="S119" i="60" s="1"/>
  <c r="R96" i="60"/>
  <c r="R97" i="60" s="1"/>
  <c r="S84" i="60" l="1"/>
  <c r="S99" i="60"/>
  <c r="S100" i="60" s="1"/>
  <c r="T154" i="61"/>
  <c r="T157" i="61"/>
  <c r="V85" i="61"/>
  <c r="V135" i="61" s="1"/>
  <c r="V83" i="61"/>
  <c r="V97" i="61"/>
  <c r="W129" i="61"/>
  <c r="U130" i="61" s="1"/>
  <c r="W118" i="61"/>
  <c r="W113" i="61"/>
  <c r="W117" i="61" s="1"/>
  <c r="W119" i="61"/>
  <c r="W114" i="61"/>
  <c r="W115" i="61" s="1"/>
  <c r="W112" i="61"/>
  <c r="S126" i="60"/>
  <c r="S120" i="60"/>
  <c r="R140" i="60"/>
  <c r="S116" i="60"/>
  <c r="S72" i="60"/>
  <c r="S71" i="60"/>
  <c r="R68" i="60"/>
  <c r="Q132" i="60"/>
  <c r="Q138" i="60"/>
  <c r="V82" i="61" l="1"/>
  <c r="V140" i="61" s="1"/>
  <c r="V146" i="61" s="1"/>
  <c r="V127" i="61"/>
  <c r="U81" i="61"/>
  <c r="U136" i="61" s="1"/>
  <c r="W123" i="61"/>
  <c r="W128" i="61" s="1"/>
  <c r="W120" i="61"/>
  <c r="W74" i="61"/>
  <c r="V101" i="61"/>
  <c r="V102" i="61" s="1"/>
  <c r="V98" i="61"/>
  <c r="R137" i="60"/>
  <c r="R135" i="60"/>
  <c r="R136" i="60" s="1"/>
  <c r="S103" i="60"/>
  <c r="S101" i="60"/>
  <c r="R70" i="60"/>
  <c r="Q67" i="60"/>
  <c r="S88" i="60"/>
  <c r="S152" i="60" s="1"/>
  <c r="R83" i="60"/>
  <c r="S87" i="60"/>
  <c r="S85" i="60"/>
  <c r="Q143" i="60"/>
  <c r="Q144" i="60" s="1"/>
  <c r="Q147" i="60" s="1"/>
  <c r="Q148" i="60" s="1"/>
  <c r="Q142" i="60"/>
  <c r="V141" i="61" l="1"/>
  <c r="V142" i="61" s="1"/>
  <c r="V143" i="61"/>
  <c r="U138" i="61"/>
  <c r="U144" i="61"/>
  <c r="W77" i="61"/>
  <c r="W76" i="61"/>
  <c r="V73" i="61"/>
  <c r="W89" i="61"/>
  <c r="W105" i="61"/>
  <c r="W106" i="61" s="1"/>
  <c r="W126" i="61"/>
  <c r="W125" i="61"/>
  <c r="W132" i="61" s="1"/>
  <c r="W122" i="61"/>
  <c r="Q151" i="60"/>
  <c r="Q82" i="60"/>
  <c r="R86" i="60"/>
  <c r="S94" i="60"/>
  <c r="S95" i="60" s="1"/>
  <c r="S90" i="60"/>
  <c r="S75" i="60"/>
  <c r="S150" i="60"/>
  <c r="S105" i="60"/>
  <c r="R102" i="60"/>
  <c r="T104" i="60"/>
  <c r="W92" i="61" l="1"/>
  <c r="W90" i="61"/>
  <c r="W93" i="61"/>
  <c r="W158" i="61" s="1"/>
  <c r="V88" i="61"/>
  <c r="U72" i="61"/>
  <c r="V75" i="61"/>
  <c r="W109" i="61"/>
  <c r="W107" i="61"/>
  <c r="U149" i="61"/>
  <c r="U150" i="61" s="1"/>
  <c r="U148" i="61"/>
  <c r="T106" i="60"/>
  <c r="T108" i="60"/>
  <c r="T109" i="60" s="1"/>
  <c r="T113" i="60"/>
  <c r="T107" i="60"/>
  <c r="T111" i="60" s="1"/>
  <c r="T112" i="60"/>
  <c r="T117" i="60" s="1"/>
  <c r="T122" i="60" s="1"/>
  <c r="T123" i="60"/>
  <c r="R124" i="60" s="1"/>
  <c r="S74" i="60"/>
  <c r="S78" i="60"/>
  <c r="R76" i="60" s="1"/>
  <c r="S80" i="60"/>
  <c r="S129" i="60" s="1"/>
  <c r="S92" i="60"/>
  <c r="S93" i="60" s="1"/>
  <c r="W111" i="61" l="1"/>
  <c r="V108" i="61"/>
  <c r="X110" i="61"/>
  <c r="U153" i="61"/>
  <c r="W95" i="61"/>
  <c r="W99" i="61"/>
  <c r="W100" i="61" s="1"/>
  <c r="W80" i="61"/>
  <c r="W79" i="61" s="1"/>
  <c r="U87" i="61"/>
  <c r="V91" i="61"/>
  <c r="R130" i="60"/>
  <c r="S121" i="60"/>
  <c r="S77" i="60"/>
  <c r="S134" i="60" s="1"/>
  <c r="S96" i="60"/>
  <c r="S97" i="60" s="1"/>
  <c r="T114" i="60"/>
  <c r="T119" i="60" s="1"/>
  <c r="T69" i="60"/>
  <c r="T84" i="60" l="1"/>
  <c r="T99" i="60"/>
  <c r="T100" i="60" s="1"/>
  <c r="X129" i="61"/>
  <c r="V130" i="61" s="1"/>
  <c r="X119" i="61"/>
  <c r="X118" i="61"/>
  <c r="X112" i="61"/>
  <c r="X114" i="61"/>
  <c r="X115" i="61" s="1"/>
  <c r="X113" i="61"/>
  <c r="X117" i="61" s="1"/>
  <c r="W85" i="61"/>
  <c r="W135" i="61" s="1"/>
  <c r="W83" i="61"/>
  <c r="W97" i="61"/>
  <c r="U154" i="61"/>
  <c r="U157" i="61"/>
  <c r="T126" i="60"/>
  <c r="T120" i="60"/>
  <c r="S140" i="60"/>
  <c r="T116" i="60"/>
  <c r="T72" i="60"/>
  <c r="T71" i="60"/>
  <c r="S68" i="60"/>
  <c r="R132" i="60"/>
  <c r="R138" i="60"/>
  <c r="W101" i="61" l="1"/>
  <c r="W102" i="61" s="1"/>
  <c r="W98" i="61"/>
  <c r="W82" i="61"/>
  <c r="W140" i="61" s="1"/>
  <c r="W146" i="61" s="1"/>
  <c r="W127" i="61"/>
  <c r="V81" i="61"/>
  <c r="V136" i="61" s="1"/>
  <c r="X123" i="61"/>
  <c r="X128" i="61" s="1"/>
  <c r="X120" i="61"/>
  <c r="X74" i="61"/>
  <c r="S135" i="60"/>
  <c r="S136" i="60" s="1"/>
  <c r="S137" i="60"/>
  <c r="R142" i="60"/>
  <c r="R143" i="60"/>
  <c r="R144" i="60" s="1"/>
  <c r="R147" i="60" s="1"/>
  <c r="R148" i="60" s="1"/>
  <c r="R67" i="60"/>
  <c r="S70" i="60"/>
  <c r="T103" i="60"/>
  <c r="T101" i="60"/>
  <c r="T88" i="60"/>
  <c r="T152" i="60" s="1"/>
  <c r="S83" i="60"/>
  <c r="T85" i="60"/>
  <c r="T87" i="60"/>
  <c r="W143" i="61" l="1"/>
  <c r="X89" i="61"/>
  <c r="X76" i="61"/>
  <c r="W73" i="61"/>
  <c r="X77" i="61"/>
  <c r="X105" i="61"/>
  <c r="X106" i="61" s="1"/>
  <c r="X122" i="61"/>
  <c r="X125" i="61"/>
  <c r="X132" i="61" s="1"/>
  <c r="X126" i="61"/>
  <c r="W141" i="61"/>
  <c r="W142" i="61" s="1"/>
  <c r="V138" i="61"/>
  <c r="V144" i="61"/>
  <c r="R82" i="60"/>
  <c r="S86" i="60"/>
  <c r="T105" i="60"/>
  <c r="S102" i="60"/>
  <c r="U104" i="60"/>
  <c r="T150" i="60"/>
  <c r="R151" i="60"/>
  <c r="T90" i="60"/>
  <c r="T94" i="60"/>
  <c r="T95" i="60" s="1"/>
  <c r="T75" i="60"/>
  <c r="X109" i="61" l="1"/>
  <c r="X107" i="61"/>
  <c r="W75" i="61"/>
  <c r="V72" i="61"/>
  <c r="V149" i="61"/>
  <c r="V150" i="61" s="1"/>
  <c r="V148" i="61"/>
  <c r="X90" i="61"/>
  <c r="X93" i="61"/>
  <c r="X158" i="61" s="1"/>
  <c r="W88" i="61"/>
  <c r="X92" i="61"/>
  <c r="T74" i="60"/>
  <c r="T80" i="60"/>
  <c r="T129" i="60" s="1"/>
  <c r="T92" i="60"/>
  <c r="T93" i="60" s="1"/>
  <c r="T78" i="60"/>
  <c r="S76" i="60" s="1"/>
  <c r="U106" i="60"/>
  <c r="U108" i="60"/>
  <c r="U109" i="60" s="1"/>
  <c r="U113" i="60"/>
  <c r="U123" i="60"/>
  <c r="S124" i="60" s="1"/>
  <c r="U107" i="60"/>
  <c r="U111" i="60" s="1"/>
  <c r="U112" i="60"/>
  <c r="U117" i="60" s="1"/>
  <c r="U122" i="60" s="1"/>
  <c r="W91" i="61" l="1"/>
  <c r="V87" i="61"/>
  <c r="V153" i="61"/>
  <c r="V154" i="61" s="1"/>
  <c r="X95" i="61"/>
  <c r="X99" i="61"/>
  <c r="X100" i="61" s="1"/>
  <c r="X80" i="61"/>
  <c r="W108" i="61"/>
  <c r="X111" i="61"/>
  <c r="Y110" i="61"/>
  <c r="T96" i="60"/>
  <c r="T97" i="60" s="1"/>
  <c r="U114" i="60"/>
  <c r="U119" i="60" s="1"/>
  <c r="U69" i="60"/>
  <c r="T77" i="60"/>
  <c r="T134" i="60" s="1"/>
  <c r="T121" i="60"/>
  <c r="S130" i="60"/>
  <c r="U84" i="60" l="1"/>
  <c r="U99" i="60"/>
  <c r="U100" i="60" s="1"/>
  <c r="V157" i="61"/>
  <c r="Y129" i="61"/>
  <c r="W130" i="61" s="1"/>
  <c r="Y119" i="61"/>
  <c r="Y114" i="61"/>
  <c r="Y115" i="61" s="1"/>
  <c r="Y112" i="61"/>
  <c r="Y113" i="61"/>
  <c r="Y117" i="61" s="1"/>
  <c r="Y118" i="61"/>
  <c r="X83" i="61"/>
  <c r="X85" i="61"/>
  <c r="X135" i="61" s="1"/>
  <c r="X97" i="61"/>
  <c r="X79" i="61"/>
  <c r="U126" i="60"/>
  <c r="U120" i="60"/>
  <c r="T140" i="60"/>
  <c r="U71" i="60"/>
  <c r="U72" i="60"/>
  <c r="T68" i="60"/>
  <c r="U116" i="60"/>
  <c r="S132" i="60"/>
  <c r="S138" i="60"/>
  <c r="Y123" i="61" l="1"/>
  <c r="Y128" i="61" s="1"/>
  <c r="Y74" i="61"/>
  <c r="Y120" i="61"/>
  <c r="X98" i="61"/>
  <c r="X101" i="61"/>
  <c r="X102" i="61" s="1"/>
  <c r="X82" i="61"/>
  <c r="X140" i="61" s="1"/>
  <c r="X146" i="61" s="1"/>
  <c r="X127" i="61"/>
  <c r="W81" i="61"/>
  <c r="W136" i="61" s="1"/>
  <c r="T135" i="60"/>
  <c r="T136" i="60" s="1"/>
  <c r="T137" i="60"/>
  <c r="U85" i="60"/>
  <c r="U87" i="60"/>
  <c r="T83" i="60"/>
  <c r="U88" i="60"/>
  <c r="U152" i="60" s="1"/>
  <c r="S143" i="60"/>
  <c r="S144" i="60" s="1"/>
  <c r="S147" i="60" s="1"/>
  <c r="S148" i="60" s="1"/>
  <c r="S142" i="60"/>
  <c r="U103" i="60"/>
  <c r="U101" i="60"/>
  <c r="S67" i="60"/>
  <c r="T70" i="60"/>
  <c r="Y125" i="61" l="1"/>
  <c r="Y132" i="61" s="1"/>
  <c r="Y122" i="61"/>
  <c r="Y126" i="61"/>
  <c r="W138" i="61"/>
  <c r="W144" i="61"/>
  <c r="X143" i="61"/>
  <c r="Y89" i="61"/>
  <c r="Y76" i="61"/>
  <c r="Y77" i="61"/>
  <c r="X73" i="61"/>
  <c r="Y105" i="61"/>
  <c r="Y106" i="61" s="1"/>
  <c r="X141" i="61"/>
  <c r="X142" i="61" s="1"/>
  <c r="U90" i="60"/>
  <c r="U94" i="60"/>
  <c r="U95" i="60" s="1"/>
  <c r="U75" i="60"/>
  <c r="U74" i="60" s="1"/>
  <c r="U105" i="60"/>
  <c r="T102" i="60"/>
  <c r="V104" i="60"/>
  <c r="U150" i="60"/>
  <c r="S82" i="60"/>
  <c r="T86" i="60"/>
  <c r="S151" i="60"/>
  <c r="W72" i="61" l="1"/>
  <c r="X75" i="61"/>
  <c r="Y93" i="61"/>
  <c r="Y158" i="61" s="1"/>
  <c r="X88" i="61"/>
  <c r="Y90" i="61"/>
  <c r="Y92" i="61"/>
  <c r="Y109" i="61"/>
  <c r="Y107" i="61"/>
  <c r="W149" i="61"/>
  <c r="W150" i="61" s="1"/>
  <c r="W148" i="61"/>
  <c r="U78" i="60"/>
  <c r="T76" i="60" s="1"/>
  <c r="U92" i="60"/>
  <c r="U93" i="60" s="1"/>
  <c r="U80" i="60"/>
  <c r="U129" i="60" s="1"/>
  <c r="V113" i="60"/>
  <c r="V106" i="60"/>
  <c r="V123" i="60"/>
  <c r="T124" i="60" s="1"/>
  <c r="V112" i="60"/>
  <c r="V117" i="60" s="1"/>
  <c r="V122" i="60" s="1"/>
  <c r="V108" i="60"/>
  <c r="V109" i="60" s="1"/>
  <c r="V107" i="60"/>
  <c r="V111" i="60" s="1"/>
  <c r="W153" i="61" l="1"/>
  <c r="W154" i="61" s="1"/>
  <c r="Y95" i="61"/>
  <c r="Y99" i="61"/>
  <c r="Y100" i="61" s="1"/>
  <c r="Y80" i="61"/>
  <c r="Y79" i="61" s="1"/>
  <c r="X91" i="61"/>
  <c r="W87" i="61"/>
  <c r="X108" i="61"/>
  <c r="Y111" i="61"/>
  <c r="Z110" i="61"/>
  <c r="V69" i="60"/>
  <c r="V114" i="60"/>
  <c r="V119" i="60" s="1"/>
  <c r="U96" i="60"/>
  <c r="U97" i="60" s="1"/>
  <c r="T130" i="60"/>
  <c r="U77" i="60"/>
  <c r="U134" i="60" s="1"/>
  <c r="U121" i="60"/>
  <c r="V84" i="60" l="1"/>
  <c r="V99" i="60"/>
  <c r="V100" i="60" s="1"/>
  <c r="W157" i="61"/>
  <c r="Y83" i="61"/>
  <c r="Y85" i="61"/>
  <c r="Y135" i="61" s="1"/>
  <c r="Y97" i="61"/>
  <c r="Z129" i="61"/>
  <c r="X130" i="61" s="1"/>
  <c r="Z113" i="61"/>
  <c r="Z117" i="61" s="1"/>
  <c r="Z118" i="61"/>
  <c r="Z114" i="61"/>
  <c r="Z115" i="61" s="1"/>
  <c r="Z112" i="61"/>
  <c r="Z119" i="61"/>
  <c r="V126" i="60"/>
  <c r="V120" i="60"/>
  <c r="U140" i="60"/>
  <c r="T132" i="60"/>
  <c r="T138" i="60"/>
  <c r="U68" i="60"/>
  <c r="V71" i="60"/>
  <c r="V72" i="60"/>
  <c r="V116" i="60"/>
  <c r="Y82" i="61" l="1"/>
  <c r="Y140" i="61" s="1"/>
  <c r="Y146" i="61" s="1"/>
  <c r="Y127" i="61"/>
  <c r="X81" i="61"/>
  <c r="X136" i="61" s="1"/>
  <c r="Y98" i="61"/>
  <c r="Y101" i="61"/>
  <c r="Y102" i="61" s="1"/>
  <c r="Z120" i="61"/>
  <c r="Z74" i="61"/>
  <c r="Z123" i="61"/>
  <c r="Z128" i="61" s="1"/>
  <c r="U137" i="60"/>
  <c r="U135" i="60"/>
  <c r="U136" i="60" s="1"/>
  <c r="V88" i="60"/>
  <c r="V152" i="60" s="1"/>
  <c r="V85" i="60"/>
  <c r="U83" i="60"/>
  <c r="V87" i="60"/>
  <c r="T67" i="60"/>
  <c r="U70" i="60"/>
  <c r="V103" i="60"/>
  <c r="V101" i="60"/>
  <c r="T142" i="60"/>
  <c r="T143" i="60"/>
  <c r="T144" i="60" s="1"/>
  <c r="T147" i="60" s="1"/>
  <c r="T148" i="60" s="1"/>
  <c r="Y143" i="61" l="1"/>
  <c r="Y141" i="61"/>
  <c r="Y142" i="61" s="1"/>
  <c r="Y73" i="61"/>
  <c r="Z89" i="61"/>
  <c r="Z76" i="61"/>
  <c r="Z77" i="61"/>
  <c r="Z105" i="61"/>
  <c r="Z106" i="61" s="1"/>
  <c r="X138" i="61"/>
  <c r="X144" i="61"/>
  <c r="Z126" i="61"/>
  <c r="Z125" i="61"/>
  <c r="Z132" i="61" s="1"/>
  <c r="Z122" i="61"/>
  <c r="T151" i="60"/>
  <c r="V150" i="60"/>
  <c r="T82" i="60"/>
  <c r="U86" i="60"/>
  <c r="V90" i="60"/>
  <c r="V94" i="60"/>
  <c r="V95" i="60" s="1"/>
  <c r="V75" i="60"/>
  <c r="V105" i="60"/>
  <c r="U102" i="60"/>
  <c r="W104" i="60"/>
  <c r="X72" i="61" l="1"/>
  <c r="Y75" i="61"/>
  <c r="Z109" i="61"/>
  <c r="Z107" i="61"/>
  <c r="Y88" i="61"/>
  <c r="Z93" i="61"/>
  <c r="Z158" i="61" s="1"/>
  <c r="Z92" i="61"/>
  <c r="Z90" i="61"/>
  <c r="X149" i="61"/>
  <c r="X150" i="61" s="1"/>
  <c r="X148" i="61"/>
  <c r="V80" i="60"/>
  <c r="V129" i="60" s="1"/>
  <c r="V92" i="60"/>
  <c r="V93" i="60" s="1"/>
  <c r="V78" i="60"/>
  <c r="U76" i="60" s="1"/>
  <c r="W107" i="60"/>
  <c r="W111" i="60" s="1"/>
  <c r="W123" i="60"/>
  <c r="U124" i="60" s="1"/>
  <c r="W112" i="60"/>
  <c r="W117" i="60" s="1"/>
  <c r="W122" i="60" s="1"/>
  <c r="W106" i="60"/>
  <c r="W113" i="60"/>
  <c r="W108" i="60"/>
  <c r="W109" i="60" s="1"/>
  <c r="V74" i="60"/>
  <c r="Z95" i="61" l="1"/>
  <c r="Z99" i="61"/>
  <c r="Z100" i="61" s="1"/>
  <c r="Z80" i="61"/>
  <c r="Z79" i="61" s="1"/>
  <c r="Y91" i="61"/>
  <c r="X87" i="61"/>
  <c r="Z111" i="61"/>
  <c r="Y108" i="61"/>
  <c r="AA110" i="61"/>
  <c r="X153" i="61"/>
  <c r="X154" i="61" s="1"/>
  <c r="U130" i="60"/>
  <c r="V77" i="60"/>
  <c r="V134" i="60" s="1"/>
  <c r="V121" i="60"/>
  <c r="W114" i="60"/>
  <c r="W119" i="60" s="1"/>
  <c r="W69" i="60"/>
  <c r="V96" i="60"/>
  <c r="V97" i="60" s="1"/>
  <c r="W84" i="60" l="1"/>
  <c r="W99" i="60"/>
  <c r="W100" i="60" s="1"/>
  <c r="AA118" i="61"/>
  <c r="AA113" i="61"/>
  <c r="AA117" i="61" s="1"/>
  <c r="AA114" i="61"/>
  <c r="AA115" i="61" s="1"/>
  <c r="AA112" i="61"/>
  <c r="AA119" i="61"/>
  <c r="AA129" i="61"/>
  <c r="Y130" i="61" s="1"/>
  <c r="Z85" i="61"/>
  <c r="Z135" i="61" s="1"/>
  <c r="Z83" i="61"/>
  <c r="Z97" i="61"/>
  <c r="X157" i="61"/>
  <c r="W126" i="60"/>
  <c r="W120" i="60"/>
  <c r="V140" i="60"/>
  <c r="W116" i="60"/>
  <c r="W71" i="60"/>
  <c r="W72" i="60"/>
  <c r="V68" i="60"/>
  <c r="U132" i="60"/>
  <c r="U138" i="60"/>
  <c r="Z82" i="61" l="1"/>
  <c r="Z140" i="61" s="1"/>
  <c r="Z146" i="61" s="1"/>
  <c r="Z127" i="61"/>
  <c r="Y81" i="61"/>
  <c r="Y136" i="61" s="1"/>
  <c r="Z101" i="61"/>
  <c r="Z102" i="61" s="1"/>
  <c r="Z98" i="61"/>
  <c r="AA123" i="61"/>
  <c r="AA128" i="61" s="1"/>
  <c r="AA120" i="61"/>
  <c r="AA74" i="61"/>
  <c r="V135" i="60"/>
  <c r="V136" i="60" s="1"/>
  <c r="V137" i="60"/>
  <c r="W85" i="60"/>
  <c r="W88" i="60"/>
  <c r="W152" i="60" s="1"/>
  <c r="V83" i="60"/>
  <c r="W87" i="60"/>
  <c r="U67" i="60"/>
  <c r="V70" i="60"/>
  <c r="W103" i="60"/>
  <c r="W101" i="60"/>
  <c r="U142" i="60"/>
  <c r="U143" i="60"/>
  <c r="U144" i="60" s="1"/>
  <c r="U147" i="60" s="1"/>
  <c r="U148" i="60" s="1"/>
  <c r="Z141" i="61" l="1"/>
  <c r="Z142" i="61" s="1"/>
  <c r="Z143" i="61"/>
  <c r="Y138" i="61"/>
  <c r="Y144" i="61"/>
  <c r="AA77" i="61"/>
  <c r="AA89" i="61"/>
  <c r="Z73" i="61"/>
  <c r="AA76" i="61"/>
  <c r="AA105" i="61"/>
  <c r="AA106" i="61" s="1"/>
  <c r="AA126" i="61"/>
  <c r="AA122" i="61"/>
  <c r="AA125" i="61"/>
  <c r="AA132" i="61" s="1"/>
  <c r="W150" i="60"/>
  <c r="V102" i="60"/>
  <c r="W105" i="60"/>
  <c r="X104" i="60"/>
  <c r="V86" i="60"/>
  <c r="U82" i="60"/>
  <c r="U151" i="60"/>
  <c r="W90" i="60"/>
  <c r="W94" i="60"/>
  <c r="W95" i="60" s="1"/>
  <c r="W75" i="60"/>
  <c r="AA109" i="61" l="1"/>
  <c r="AA107" i="61"/>
  <c r="Z75" i="61"/>
  <c r="Y72" i="61"/>
  <c r="AA92" i="61"/>
  <c r="AA90" i="61"/>
  <c r="AA93" i="61"/>
  <c r="AA158" i="61" s="1"/>
  <c r="Z88" i="61"/>
  <c r="Y149" i="61"/>
  <c r="Y150" i="61" s="1"/>
  <c r="Y148" i="61"/>
  <c r="X108" i="60"/>
  <c r="X109" i="60" s="1"/>
  <c r="X113" i="60"/>
  <c r="X123" i="60"/>
  <c r="V124" i="60" s="1"/>
  <c r="X112" i="60"/>
  <c r="X117" i="60" s="1"/>
  <c r="X122" i="60" s="1"/>
  <c r="X107" i="60"/>
  <c r="X111" i="60" s="1"/>
  <c r="X106" i="60"/>
  <c r="W74" i="60"/>
  <c r="W78" i="60"/>
  <c r="V76" i="60" s="1"/>
  <c r="W92" i="60"/>
  <c r="W93" i="60" s="1"/>
  <c r="W80" i="60"/>
  <c r="W129" i="60" s="1"/>
  <c r="Y153" i="61" l="1"/>
  <c r="Y154" i="61" s="1"/>
  <c r="Z91" i="61"/>
  <c r="Y87" i="61"/>
  <c r="AA95" i="61"/>
  <c r="AA99" i="61"/>
  <c r="AA100" i="61" s="1"/>
  <c r="AA80" i="61"/>
  <c r="AA79" i="61" s="1"/>
  <c r="AA111" i="61"/>
  <c r="Z108" i="61"/>
  <c r="AB110" i="61"/>
  <c r="W77" i="60"/>
  <c r="W134" i="60" s="1"/>
  <c r="W121" i="60"/>
  <c r="V130" i="60"/>
  <c r="X69" i="60"/>
  <c r="X114" i="60"/>
  <c r="X119" i="60" s="1"/>
  <c r="W96" i="60"/>
  <c r="W97" i="60" s="1"/>
  <c r="X84" i="60" l="1"/>
  <c r="X99" i="60"/>
  <c r="X100" i="60" s="1"/>
  <c r="Y157" i="61"/>
  <c r="AA83" i="61"/>
  <c r="AA85" i="61"/>
  <c r="AA135" i="61" s="1"/>
  <c r="AA97" i="61"/>
  <c r="AB129" i="61"/>
  <c r="Z130" i="61" s="1"/>
  <c r="AB119" i="61"/>
  <c r="AB118" i="61"/>
  <c r="AB113" i="61"/>
  <c r="AB117" i="61" s="1"/>
  <c r="AB114" i="61"/>
  <c r="AB115" i="61" s="1"/>
  <c r="AB112" i="61"/>
  <c r="X126" i="60"/>
  <c r="X120" i="60"/>
  <c r="W140" i="60"/>
  <c r="V132" i="60"/>
  <c r="V138" i="60"/>
  <c r="X116" i="60"/>
  <c r="W68" i="60"/>
  <c r="X71" i="60"/>
  <c r="X72" i="60"/>
  <c r="AA101" i="61" l="1"/>
  <c r="AA102" i="61" s="1"/>
  <c r="AA98" i="61"/>
  <c r="AB120" i="61"/>
  <c r="AB74" i="61"/>
  <c r="AB123" i="61"/>
  <c r="AB128" i="61" s="1"/>
  <c r="AA82" i="61"/>
  <c r="AA140" i="61" s="1"/>
  <c r="AA146" i="61" s="1"/>
  <c r="AA127" i="61"/>
  <c r="Z81" i="61"/>
  <c r="Z136" i="61" s="1"/>
  <c r="W137" i="60"/>
  <c r="W135" i="60"/>
  <c r="W136" i="60" s="1"/>
  <c r="X103" i="60"/>
  <c r="X101" i="60"/>
  <c r="W70" i="60"/>
  <c r="V67" i="60"/>
  <c r="W83" i="60"/>
  <c r="X88" i="60"/>
  <c r="X152" i="60" s="1"/>
  <c r="X85" i="60"/>
  <c r="X87" i="60"/>
  <c r="V143" i="60"/>
  <c r="V144" i="60" s="1"/>
  <c r="V147" i="60" s="1"/>
  <c r="V148" i="60" s="1"/>
  <c r="V142" i="60"/>
  <c r="AA143" i="61" l="1"/>
  <c r="Z138" i="61"/>
  <c r="Z144" i="61"/>
  <c r="AB89" i="61"/>
  <c r="AB77" i="61"/>
  <c r="AB76" i="61"/>
  <c r="AA73" i="61"/>
  <c r="AB105" i="61"/>
  <c r="AB106" i="61" s="1"/>
  <c r="AA141" i="61"/>
  <c r="AA142" i="61" s="1"/>
  <c r="AB126" i="61"/>
  <c r="AB125" i="61"/>
  <c r="AB132" i="61" s="1"/>
  <c r="AB122" i="61"/>
  <c r="V151" i="60"/>
  <c r="V82" i="60"/>
  <c r="W86" i="60"/>
  <c r="X150" i="60"/>
  <c r="X90" i="60"/>
  <c r="X94" i="60"/>
  <c r="X95" i="60" s="1"/>
  <c r="X75" i="60"/>
  <c r="W102" i="60"/>
  <c r="X105" i="60"/>
  <c r="Y104" i="60"/>
  <c r="AB109" i="61" l="1"/>
  <c r="AB107" i="61"/>
  <c r="Z149" i="61"/>
  <c r="Z150" i="61" s="1"/>
  <c r="Z148" i="61"/>
  <c r="AA75" i="61"/>
  <c r="Z72" i="61"/>
  <c r="AB93" i="61"/>
  <c r="AB158" i="61" s="1"/>
  <c r="AB92" i="61"/>
  <c r="AA88" i="61"/>
  <c r="AB90" i="61"/>
  <c r="X74" i="60"/>
  <c r="X78" i="60"/>
  <c r="W76" i="60" s="1"/>
  <c r="X92" i="60"/>
  <c r="X93" i="60" s="1"/>
  <c r="X80" i="60"/>
  <c r="X129" i="60" s="1"/>
  <c r="Y107" i="60"/>
  <c r="Y111" i="60" s="1"/>
  <c r="Y123" i="60"/>
  <c r="W124" i="60" s="1"/>
  <c r="Y112" i="60"/>
  <c r="Y117" i="60" s="1"/>
  <c r="Y122" i="60" s="1"/>
  <c r="Y108" i="60"/>
  <c r="Y109" i="60" s="1"/>
  <c r="Y106" i="60"/>
  <c r="Y113" i="60"/>
  <c r="AB95" i="61" l="1"/>
  <c r="AB99" i="61"/>
  <c r="AB100" i="61" s="1"/>
  <c r="AB80" i="61"/>
  <c r="AB79" i="61" s="1"/>
  <c r="Z87" i="61"/>
  <c r="AA91" i="61"/>
  <c r="AB111" i="61"/>
  <c r="AA108" i="61"/>
  <c r="AC110" i="61"/>
  <c r="Z153" i="61"/>
  <c r="Y114" i="60"/>
  <c r="Y119" i="60" s="1"/>
  <c r="Y69" i="60"/>
  <c r="X96" i="60"/>
  <c r="X97" i="60" s="1"/>
  <c r="W130" i="60"/>
  <c r="X77" i="60"/>
  <c r="X134" i="60" s="1"/>
  <c r="X121" i="60"/>
  <c r="Y84" i="60" l="1"/>
  <c r="Y99" i="60"/>
  <c r="Y100" i="60" s="1"/>
  <c r="AC129" i="61"/>
  <c r="AA130" i="61" s="1"/>
  <c r="AC119" i="61"/>
  <c r="AC114" i="61"/>
  <c r="AC115" i="61" s="1"/>
  <c r="AC112" i="61"/>
  <c r="AC113" i="61"/>
  <c r="AC117" i="61" s="1"/>
  <c r="AC118" i="61"/>
  <c r="AB85" i="61"/>
  <c r="AB135" i="61" s="1"/>
  <c r="AB83" i="61"/>
  <c r="AB97" i="61"/>
  <c r="Z154" i="61"/>
  <c r="Z157" i="61"/>
  <c r="Y126" i="60"/>
  <c r="Y120" i="60"/>
  <c r="X140" i="60"/>
  <c r="Y71" i="60"/>
  <c r="X68" i="60"/>
  <c r="Y72" i="60"/>
  <c r="W132" i="60"/>
  <c r="W138" i="60"/>
  <c r="Y116" i="60"/>
  <c r="AB82" i="61" l="1"/>
  <c r="AB140" i="61" s="1"/>
  <c r="AB146" i="61" s="1"/>
  <c r="AB127" i="61"/>
  <c r="AA81" i="61"/>
  <c r="AA136" i="61" s="1"/>
  <c r="AC120" i="61"/>
  <c r="AC74" i="61"/>
  <c r="AC123" i="61"/>
  <c r="AC128" i="61" s="1"/>
  <c r="AB98" i="61"/>
  <c r="AB101" i="61"/>
  <c r="AB102" i="61" s="1"/>
  <c r="X135" i="60"/>
  <c r="X136" i="60" s="1"/>
  <c r="X137" i="60"/>
  <c r="Y85" i="60"/>
  <c r="X83" i="60"/>
  <c r="Y88" i="60"/>
  <c r="Y152" i="60" s="1"/>
  <c r="Y87" i="60"/>
  <c r="W143" i="60"/>
  <c r="W144" i="60" s="1"/>
  <c r="W147" i="60" s="1"/>
  <c r="W148" i="60" s="1"/>
  <c r="W142" i="60"/>
  <c r="X70" i="60"/>
  <c r="W67" i="60"/>
  <c r="Y103" i="60"/>
  <c r="Y101" i="60"/>
  <c r="AC89" i="61" l="1"/>
  <c r="AC76" i="61"/>
  <c r="AC77" i="61"/>
  <c r="AB73" i="61"/>
  <c r="AC105" i="61"/>
  <c r="AC106" i="61" s="1"/>
  <c r="AC125" i="61"/>
  <c r="AC132" i="61" s="1"/>
  <c r="AC122" i="61"/>
  <c r="AC126" i="61"/>
  <c r="AB141" i="61"/>
  <c r="AB142" i="61" s="1"/>
  <c r="AB143" i="61"/>
  <c r="AA138" i="61"/>
  <c r="AA144" i="61"/>
  <c r="Y150" i="60"/>
  <c r="W151" i="60"/>
  <c r="W82" i="60"/>
  <c r="X86" i="60"/>
  <c r="Y105" i="60"/>
  <c r="X102" i="60"/>
  <c r="Z104" i="60"/>
  <c r="Y90" i="60"/>
  <c r="Y94" i="60"/>
  <c r="Y95" i="60" s="1"/>
  <c r="Y75" i="60"/>
  <c r="AA149" i="61" l="1"/>
  <c r="AA150" i="61" s="1"/>
  <c r="AA148" i="61"/>
  <c r="AC109" i="61"/>
  <c r="AC107" i="61"/>
  <c r="AA72" i="61"/>
  <c r="AB75" i="61"/>
  <c r="AC93" i="61"/>
  <c r="AC158" i="61" s="1"/>
  <c r="AB88" i="61"/>
  <c r="AC90" i="61"/>
  <c r="AC92" i="61"/>
  <c r="Z123" i="60"/>
  <c r="X124" i="60" s="1"/>
  <c r="Z112" i="60"/>
  <c r="Z117" i="60" s="1"/>
  <c r="Z122" i="60" s="1"/>
  <c r="Z106" i="60"/>
  <c r="Z107" i="60"/>
  <c r="Z111" i="60" s="1"/>
  <c r="Z113" i="60"/>
  <c r="Z108" i="60"/>
  <c r="Z109" i="60" s="1"/>
  <c r="Y74" i="60"/>
  <c r="Y92" i="60"/>
  <c r="Y93" i="60" s="1"/>
  <c r="Y80" i="60"/>
  <c r="Y129" i="60" s="1"/>
  <c r="Y78" i="60"/>
  <c r="X76" i="60" s="1"/>
  <c r="AA153" i="61" l="1"/>
  <c r="AC95" i="61"/>
  <c r="AC99" i="61"/>
  <c r="AC100" i="61" s="1"/>
  <c r="AC80" i="61"/>
  <c r="AA87" i="61"/>
  <c r="AB91" i="61"/>
  <c r="AB108" i="61"/>
  <c r="AC111" i="61"/>
  <c r="AD110" i="61"/>
  <c r="X130" i="60"/>
  <c r="Y121" i="60"/>
  <c r="Y77" i="60"/>
  <c r="Y134" i="60" s="1"/>
  <c r="Z114" i="60"/>
  <c r="Z119" i="60" s="1"/>
  <c r="Z69" i="60"/>
  <c r="Y96" i="60"/>
  <c r="Y97" i="60" s="1"/>
  <c r="Z84" i="60" l="1"/>
  <c r="Z99" i="60"/>
  <c r="Z100" i="60" s="1"/>
  <c r="AD113" i="61"/>
  <c r="AD117" i="61" s="1"/>
  <c r="AD129" i="61"/>
  <c r="AB130" i="61" s="1"/>
  <c r="AD114" i="61"/>
  <c r="AD115" i="61" s="1"/>
  <c r="AD119" i="61"/>
  <c r="AD118" i="61"/>
  <c r="AD112" i="61"/>
  <c r="AC83" i="61"/>
  <c r="AC85" i="61"/>
  <c r="AC135" i="61" s="1"/>
  <c r="AC97" i="61"/>
  <c r="AC79" i="61"/>
  <c r="AA154" i="61"/>
  <c r="AA157" i="61"/>
  <c r="Z126" i="60"/>
  <c r="Z120" i="60"/>
  <c r="Y140" i="60"/>
  <c r="Y68" i="60"/>
  <c r="Z72" i="60"/>
  <c r="Z71" i="60"/>
  <c r="X138" i="60"/>
  <c r="X132" i="60"/>
  <c r="Z116" i="60"/>
  <c r="AC82" i="61" l="1"/>
  <c r="AC140" i="61" s="1"/>
  <c r="AC146" i="61" s="1"/>
  <c r="AC127" i="61"/>
  <c r="AB81" i="61"/>
  <c r="AB136" i="61" s="1"/>
  <c r="AC101" i="61"/>
  <c r="AC102" i="61" s="1"/>
  <c r="AC98" i="61"/>
  <c r="AD123" i="61"/>
  <c r="AD128" i="61" s="1"/>
  <c r="AD120" i="61"/>
  <c r="AD74" i="61"/>
  <c r="Y135" i="60"/>
  <c r="Y136" i="60" s="1"/>
  <c r="Y137" i="60"/>
  <c r="Z103" i="60"/>
  <c r="Z101" i="60"/>
  <c r="X142" i="60"/>
  <c r="X143" i="60"/>
  <c r="X144" i="60" s="1"/>
  <c r="X147" i="60" s="1"/>
  <c r="X148" i="60" s="1"/>
  <c r="Z88" i="60"/>
  <c r="Z152" i="60" s="1"/>
  <c r="Z87" i="60"/>
  <c r="Z85" i="60"/>
  <c r="Y83" i="60"/>
  <c r="X67" i="60"/>
  <c r="Y70" i="60"/>
  <c r="AD89" i="61" l="1"/>
  <c r="AC73" i="61"/>
  <c r="AD77" i="61"/>
  <c r="AD76" i="61"/>
  <c r="AD105" i="61"/>
  <c r="AD106" i="61" s="1"/>
  <c r="AC141" i="61"/>
  <c r="AC142" i="61" s="1"/>
  <c r="AC143" i="61"/>
  <c r="AD122" i="61"/>
  <c r="AD125" i="61"/>
  <c r="AD132" i="61" s="1"/>
  <c r="AD126" i="61"/>
  <c r="AB138" i="61"/>
  <c r="AB144" i="61"/>
  <c r="Z150" i="60"/>
  <c r="Y86" i="60"/>
  <c r="X82" i="60"/>
  <c r="Z90" i="60"/>
  <c r="Z94" i="60"/>
  <c r="Z95" i="60" s="1"/>
  <c r="Z75" i="60"/>
  <c r="X151" i="60"/>
  <c r="Y102" i="60"/>
  <c r="Z105" i="60"/>
  <c r="AA104" i="60"/>
  <c r="AB149" i="61" l="1"/>
  <c r="AB150" i="61" s="1"/>
  <c r="AB148" i="61"/>
  <c r="AD109" i="61"/>
  <c r="AD107" i="61"/>
  <c r="AB72" i="61"/>
  <c r="AC75" i="61"/>
  <c r="AD93" i="61"/>
  <c r="AD158" i="61" s="1"/>
  <c r="AD92" i="61"/>
  <c r="AC88" i="61"/>
  <c r="AD90" i="61"/>
  <c r="AA108" i="60"/>
  <c r="AA109" i="60" s="1"/>
  <c r="AA106" i="60"/>
  <c r="AA113" i="60"/>
  <c r="AA112" i="60"/>
  <c r="AA117" i="60" s="1"/>
  <c r="AA122" i="60" s="1"/>
  <c r="AA107" i="60"/>
  <c r="AA111" i="60" s="1"/>
  <c r="AA123" i="60"/>
  <c r="Y124" i="60" s="1"/>
  <c r="Z74" i="60"/>
  <c r="Z78" i="60"/>
  <c r="Y76" i="60" s="1"/>
  <c r="Z80" i="60"/>
  <c r="Z129" i="60" s="1"/>
  <c r="Z92" i="60"/>
  <c r="Z93" i="60" s="1"/>
  <c r="AB153" i="61" l="1"/>
  <c r="AD95" i="61"/>
  <c r="AD99" i="61"/>
  <c r="AD100" i="61" s="1"/>
  <c r="AD80" i="61"/>
  <c r="AD79" i="61" s="1"/>
  <c r="AC91" i="61"/>
  <c r="AB87" i="61"/>
  <c r="AD111" i="61"/>
  <c r="AC108" i="61"/>
  <c r="AE110" i="61"/>
  <c r="Z96" i="60"/>
  <c r="Z97" i="60" s="1"/>
  <c r="Z77" i="60"/>
  <c r="Z134" i="60" s="1"/>
  <c r="Z121" i="60"/>
  <c r="Y130" i="60"/>
  <c r="AA114" i="60"/>
  <c r="AA119" i="60" s="1"/>
  <c r="AA69" i="60"/>
  <c r="AA84" i="60" l="1"/>
  <c r="AA99" i="60"/>
  <c r="AB154" i="61"/>
  <c r="AB157" i="61"/>
  <c r="AD85" i="61"/>
  <c r="AD135" i="61" s="1"/>
  <c r="AD83" i="61"/>
  <c r="AD97" i="61"/>
  <c r="AE118" i="61"/>
  <c r="AE113" i="61"/>
  <c r="AE117" i="61" s="1"/>
  <c r="AE129" i="61"/>
  <c r="AC130" i="61" s="1"/>
  <c r="AE114" i="61"/>
  <c r="AE115" i="61" s="1"/>
  <c r="AE112" i="61"/>
  <c r="AE119" i="61"/>
  <c r="AA126" i="60"/>
  <c r="AA120" i="60"/>
  <c r="Z140" i="60"/>
  <c r="Y132" i="60"/>
  <c r="Y138" i="60"/>
  <c r="AA71" i="60"/>
  <c r="AA72" i="60"/>
  <c r="Z68" i="60"/>
  <c r="AA100" i="60"/>
  <c r="AA116" i="60"/>
  <c r="AD101" i="61" l="1"/>
  <c r="AD102" i="61" s="1"/>
  <c r="AD98" i="61"/>
  <c r="AD82" i="61"/>
  <c r="AD140" i="61" s="1"/>
  <c r="AD146" i="61" s="1"/>
  <c r="AD127" i="61"/>
  <c r="AC81" i="61"/>
  <c r="AC136" i="61" s="1"/>
  <c r="AE123" i="61"/>
  <c r="AE128" i="61" s="1"/>
  <c r="AE120" i="61"/>
  <c r="AE74" i="61"/>
  <c r="Z137" i="60"/>
  <c r="Z135" i="60"/>
  <c r="Z136" i="60" s="1"/>
  <c r="AA103" i="60"/>
  <c r="AA101" i="60"/>
  <c r="AA87" i="60"/>
  <c r="AA88" i="60"/>
  <c r="AA152" i="60" s="1"/>
  <c r="AA85" i="60"/>
  <c r="Z83" i="60"/>
  <c r="Y67" i="60"/>
  <c r="Z70" i="60"/>
  <c r="Y143" i="60"/>
  <c r="Y144" i="60" s="1"/>
  <c r="Y147" i="60" s="1"/>
  <c r="Y148" i="60" s="1"/>
  <c r="Y142" i="60"/>
  <c r="AD143" i="61" l="1"/>
  <c r="AD141" i="61"/>
  <c r="AD142" i="61" s="1"/>
  <c r="AE77" i="61"/>
  <c r="AD73" i="61"/>
  <c r="AE76" i="61"/>
  <c r="AE89" i="61"/>
  <c r="AE105" i="61"/>
  <c r="AE106" i="61" s="1"/>
  <c r="AE126" i="61"/>
  <c r="AE125" i="61"/>
  <c r="AE132" i="61" s="1"/>
  <c r="AE122" i="61"/>
  <c r="AC138" i="61"/>
  <c r="AC144" i="61"/>
  <c r="Y151" i="60"/>
  <c r="AA150" i="60"/>
  <c r="Z86" i="60"/>
  <c r="Y82" i="60"/>
  <c r="AA90" i="60"/>
  <c r="AA94" i="60"/>
  <c r="AA95" i="60" s="1"/>
  <c r="AA75" i="60"/>
  <c r="AA105" i="60"/>
  <c r="Z102" i="60"/>
  <c r="AB104" i="60"/>
  <c r="AE92" i="61" l="1"/>
  <c r="AE90" i="61"/>
  <c r="AE93" i="61"/>
  <c r="AE158" i="61" s="1"/>
  <c r="AD88" i="61"/>
  <c r="AC149" i="61"/>
  <c r="AC150" i="61" s="1"/>
  <c r="AC148" i="61"/>
  <c r="AD75" i="61"/>
  <c r="AC72" i="61"/>
  <c r="AE109" i="61"/>
  <c r="AE107" i="61"/>
  <c r="AB113" i="60"/>
  <c r="AB107" i="60"/>
  <c r="AB111" i="60" s="1"/>
  <c r="AB112" i="60"/>
  <c r="AB117" i="60" s="1"/>
  <c r="AB122" i="60" s="1"/>
  <c r="AB123" i="60"/>
  <c r="Z124" i="60" s="1"/>
  <c r="AB106" i="60"/>
  <c r="AB108" i="60"/>
  <c r="AB109" i="60" s="1"/>
  <c r="AA74" i="60"/>
  <c r="AA78" i="60"/>
  <c r="Z76" i="60" s="1"/>
  <c r="AA80" i="60"/>
  <c r="AA129" i="60" s="1"/>
  <c r="AA92" i="60"/>
  <c r="AA93" i="60" s="1"/>
  <c r="AE99" i="61" l="1"/>
  <c r="AE100" i="61" s="1"/>
  <c r="AE95" i="61"/>
  <c r="AE80" i="61"/>
  <c r="AE79" i="61"/>
  <c r="AE111" i="61"/>
  <c r="AD108" i="61"/>
  <c r="AF110" i="61"/>
  <c r="AD91" i="61"/>
  <c r="AC87" i="61"/>
  <c r="AC153" i="61"/>
  <c r="Z130" i="60"/>
  <c r="AA77" i="60"/>
  <c r="AA134" i="60" s="1"/>
  <c r="AA121" i="60"/>
  <c r="AB69" i="60"/>
  <c r="AB114" i="60"/>
  <c r="AB119" i="60" s="1"/>
  <c r="AA96" i="60"/>
  <c r="AA97" i="60" s="1"/>
  <c r="AB84" i="60" l="1"/>
  <c r="AB99" i="60"/>
  <c r="AB100" i="60" s="1"/>
  <c r="AF129" i="61"/>
  <c r="AD130" i="61" s="1"/>
  <c r="AF114" i="61"/>
  <c r="AF115" i="61" s="1"/>
  <c r="AF113" i="61"/>
  <c r="AF117" i="61" s="1"/>
  <c r="AF112" i="61"/>
  <c r="AF119" i="61"/>
  <c r="AF118" i="61"/>
  <c r="AE83" i="61"/>
  <c r="AE85" i="61"/>
  <c r="AE135" i="61" s="1"/>
  <c r="AE97" i="61"/>
  <c r="AC154" i="61"/>
  <c r="AC157" i="61"/>
  <c r="AB126" i="60"/>
  <c r="AB120" i="60"/>
  <c r="AA140" i="60"/>
  <c r="AB71" i="60"/>
  <c r="AA68" i="60"/>
  <c r="AB72" i="60"/>
  <c r="AB116" i="60"/>
  <c r="Z132" i="60"/>
  <c r="Z138" i="60"/>
  <c r="AE98" i="61" l="1"/>
  <c r="AE101" i="61"/>
  <c r="AE102" i="61" s="1"/>
  <c r="AE82" i="61"/>
  <c r="AE140" i="61" s="1"/>
  <c r="AE146" i="61" s="1"/>
  <c r="AE127" i="61"/>
  <c r="AD81" i="61"/>
  <c r="AD136" i="61" s="1"/>
  <c r="AF123" i="61"/>
  <c r="AF128" i="61" s="1"/>
  <c r="AF120" i="61"/>
  <c r="AF74" i="61"/>
  <c r="AA135" i="60"/>
  <c r="AA136" i="60" s="1"/>
  <c r="AA137" i="60"/>
  <c r="Z143" i="60"/>
  <c r="Z144" i="60" s="1"/>
  <c r="Z147" i="60" s="1"/>
  <c r="Z148" i="60" s="1"/>
  <c r="Z142" i="60"/>
  <c r="AA70" i="60"/>
  <c r="Z67" i="60"/>
  <c r="AB87" i="60"/>
  <c r="AB88" i="60"/>
  <c r="AB152" i="60" s="1"/>
  <c r="AB85" i="60"/>
  <c r="AA83" i="60"/>
  <c r="AB103" i="60"/>
  <c r="AB101" i="60"/>
  <c r="AF89" i="61" l="1"/>
  <c r="AF105" i="61"/>
  <c r="AF106" i="61" s="1"/>
  <c r="AE73" i="61"/>
  <c r="AF77" i="61"/>
  <c r="AF76" i="61"/>
  <c r="AE143" i="61"/>
  <c r="AD138" i="61"/>
  <c r="AD144" i="61"/>
  <c r="AE141" i="61"/>
  <c r="AE142" i="61" s="1"/>
  <c r="AF126" i="61"/>
  <c r="AF122" i="61"/>
  <c r="AF125" i="61"/>
  <c r="AF132" i="61" s="1"/>
  <c r="Z151" i="60"/>
  <c r="Z82" i="60"/>
  <c r="AA86" i="60"/>
  <c r="AB94" i="60"/>
  <c r="AB95" i="60" s="1"/>
  <c r="AB90" i="60"/>
  <c r="AB75" i="60"/>
  <c r="AB74" i="60" s="1"/>
  <c r="AA102" i="60"/>
  <c r="AB105" i="60"/>
  <c r="AC104" i="60"/>
  <c r="AB150" i="60"/>
  <c r="AD149" i="61" l="1"/>
  <c r="AD150" i="61" s="1"/>
  <c r="AD148" i="61"/>
  <c r="AF109" i="61"/>
  <c r="AF107" i="61"/>
  <c r="AE75" i="61"/>
  <c r="AD72" i="61"/>
  <c r="AE88" i="61"/>
  <c r="AF93" i="61"/>
  <c r="AF158" i="61" s="1"/>
  <c r="AF90" i="61"/>
  <c r="AF92" i="61"/>
  <c r="AC107" i="60"/>
  <c r="AC111" i="60" s="1"/>
  <c r="AC123" i="60"/>
  <c r="AA124" i="60" s="1"/>
  <c r="AC113" i="60"/>
  <c r="AC112" i="60"/>
  <c r="AC117" i="60" s="1"/>
  <c r="AC122" i="60" s="1"/>
  <c r="AC106" i="60"/>
  <c r="AC108" i="60"/>
  <c r="AC109" i="60" s="1"/>
  <c r="AB92" i="60"/>
  <c r="AB93" i="60" s="1"/>
  <c r="AB80" i="60"/>
  <c r="AB129" i="60" s="1"/>
  <c r="AB78" i="60"/>
  <c r="AA76" i="60" s="1"/>
  <c r="AF111" i="61" l="1"/>
  <c r="AE108" i="61"/>
  <c r="AG110" i="61"/>
  <c r="AD153" i="61"/>
  <c r="AD154" i="61" s="1"/>
  <c r="AF95" i="61"/>
  <c r="AF99" i="61"/>
  <c r="AF100" i="61" s="1"/>
  <c r="AF80" i="61"/>
  <c r="AD87" i="61"/>
  <c r="AE91" i="61"/>
  <c r="AB96" i="60"/>
  <c r="AB97" i="60" s="1"/>
  <c r="AC69" i="60"/>
  <c r="AC114" i="60"/>
  <c r="AC119" i="60" s="1"/>
  <c r="AB77" i="60"/>
  <c r="AB134" i="60" s="1"/>
  <c r="AB121" i="60"/>
  <c r="AA130" i="60"/>
  <c r="AC84" i="60" l="1"/>
  <c r="AC99" i="60"/>
  <c r="AC100" i="60" s="1"/>
  <c r="AD157" i="61"/>
  <c r="AG129" i="61"/>
  <c r="AE130" i="61" s="1"/>
  <c r="AG119" i="61"/>
  <c r="AG114" i="61"/>
  <c r="AG115" i="61" s="1"/>
  <c r="AG112" i="61"/>
  <c r="AG118" i="61"/>
  <c r="AG113" i="61"/>
  <c r="AG117" i="61" s="1"/>
  <c r="AF83" i="61"/>
  <c r="AF85" i="61"/>
  <c r="AF135" i="61" s="1"/>
  <c r="AF97" i="61"/>
  <c r="AF79" i="61"/>
  <c r="AC126" i="60"/>
  <c r="AC120" i="60"/>
  <c r="AB140" i="60"/>
  <c r="AC116" i="60"/>
  <c r="AC71" i="60"/>
  <c r="AC72" i="60"/>
  <c r="AB68" i="60"/>
  <c r="AA132" i="60"/>
  <c r="AA138" i="60"/>
  <c r="AF82" i="61" l="1"/>
  <c r="AF140" i="61" s="1"/>
  <c r="AF146" i="61" s="1"/>
  <c r="AF127" i="61"/>
  <c r="AE81" i="61"/>
  <c r="AE136" i="61" s="1"/>
  <c r="AF98" i="61"/>
  <c r="AF101" i="61"/>
  <c r="AF102" i="61" s="1"/>
  <c r="AG74" i="61"/>
  <c r="AG120" i="61"/>
  <c r="AG123" i="61"/>
  <c r="AG128" i="61" s="1"/>
  <c r="AB137" i="60"/>
  <c r="AB135" i="60"/>
  <c r="AB136" i="60" s="1"/>
  <c r="AA67" i="60"/>
  <c r="AB70" i="60"/>
  <c r="AA143" i="60"/>
  <c r="AA144" i="60" s="1"/>
  <c r="AA147" i="60" s="1"/>
  <c r="AA148" i="60" s="1"/>
  <c r="AA142" i="60"/>
  <c r="AB83" i="60"/>
  <c r="AC87" i="60"/>
  <c r="AC88" i="60"/>
  <c r="AC152" i="60" s="1"/>
  <c r="AC85" i="60"/>
  <c r="AC103" i="60"/>
  <c r="AC101" i="60"/>
  <c r="AF141" i="61" l="1"/>
  <c r="AF142" i="61" s="1"/>
  <c r="AF143" i="61"/>
  <c r="AG89" i="61"/>
  <c r="AG76" i="61"/>
  <c r="AF73" i="61"/>
  <c r="AG77" i="61"/>
  <c r="AG105" i="61"/>
  <c r="AG106" i="61" s="1"/>
  <c r="AE138" i="61"/>
  <c r="AE144" i="61"/>
  <c r="AG125" i="61"/>
  <c r="AG132" i="61" s="1"/>
  <c r="AG122" i="61"/>
  <c r="AG126" i="61"/>
  <c r="AC150" i="60"/>
  <c r="AC105" i="60"/>
  <c r="AB102" i="60"/>
  <c r="AD104" i="60"/>
  <c r="AA82" i="60"/>
  <c r="AB86" i="60"/>
  <c r="AC90" i="60"/>
  <c r="AC94" i="60"/>
  <c r="AC95" i="60" s="1"/>
  <c r="AC75" i="60"/>
  <c r="AA151" i="60"/>
  <c r="AG93" i="61" l="1"/>
  <c r="AG158" i="61" s="1"/>
  <c r="AF88" i="61"/>
  <c r="AG92" i="61"/>
  <c r="AG90" i="61"/>
  <c r="AE72" i="61"/>
  <c r="AF75" i="61"/>
  <c r="AE149" i="61"/>
  <c r="AE150" i="61" s="1"/>
  <c r="AE148" i="61"/>
  <c r="AG109" i="61"/>
  <c r="AG107" i="61"/>
  <c r="AD106" i="60"/>
  <c r="AD123" i="60"/>
  <c r="AB124" i="60" s="1"/>
  <c r="AD113" i="60"/>
  <c r="AD108" i="60"/>
  <c r="AD109" i="60" s="1"/>
  <c r="AD107" i="60"/>
  <c r="AD111" i="60" s="1"/>
  <c r="AD112" i="60"/>
  <c r="AD117" i="60" s="1"/>
  <c r="AD122" i="60" s="1"/>
  <c r="AC74" i="60"/>
  <c r="AC78" i="60"/>
  <c r="AB76" i="60" s="1"/>
  <c r="AC92" i="60"/>
  <c r="AC93" i="60" s="1"/>
  <c r="AC80" i="60"/>
  <c r="AC129" i="60" s="1"/>
  <c r="AG95" i="61" l="1"/>
  <c r="AG99" i="61"/>
  <c r="AG100" i="61" s="1"/>
  <c r="AG80" i="61"/>
  <c r="AE153" i="61"/>
  <c r="AE154" i="61" s="1"/>
  <c r="AE87" i="61"/>
  <c r="AF91" i="61"/>
  <c r="AF108" i="61"/>
  <c r="AG111" i="61"/>
  <c r="AH110" i="61"/>
  <c r="AB130" i="60"/>
  <c r="AC77" i="60"/>
  <c r="AC134" i="60" s="1"/>
  <c r="AC121" i="60"/>
  <c r="AD69" i="60"/>
  <c r="AD114" i="60"/>
  <c r="AD119" i="60" s="1"/>
  <c r="AC96" i="60"/>
  <c r="AC97" i="60" s="1"/>
  <c r="AD84" i="60" l="1"/>
  <c r="AD99" i="60"/>
  <c r="AD100" i="60" s="1"/>
  <c r="AH129" i="61"/>
  <c r="AF130" i="61" s="1"/>
  <c r="AH119" i="61"/>
  <c r="AH114" i="61"/>
  <c r="AH115" i="61" s="1"/>
  <c r="AH112" i="61"/>
  <c r="AH113" i="61"/>
  <c r="AH117" i="61" s="1"/>
  <c r="AH118" i="61"/>
  <c r="AG83" i="61"/>
  <c r="AG85" i="61"/>
  <c r="AG135" i="61" s="1"/>
  <c r="AG97" i="61"/>
  <c r="AG79" i="61"/>
  <c r="AE157" i="61"/>
  <c r="AD126" i="60"/>
  <c r="AD120" i="60"/>
  <c r="AC140" i="60"/>
  <c r="AD116" i="60"/>
  <c r="AD72" i="60"/>
  <c r="AD71" i="60"/>
  <c r="AC68" i="60"/>
  <c r="AB132" i="60"/>
  <c r="AB138" i="60"/>
  <c r="AG82" i="61" l="1"/>
  <c r="AG140" i="61" s="1"/>
  <c r="AG146" i="61" s="1"/>
  <c r="AG127" i="61"/>
  <c r="AF81" i="61"/>
  <c r="AF136" i="61" s="1"/>
  <c r="AH120" i="61"/>
  <c r="AH123" i="61"/>
  <c r="AH128" i="61" s="1"/>
  <c r="AH74" i="61"/>
  <c r="AG101" i="61"/>
  <c r="AG102" i="61" s="1"/>
  <c r="AG98" i="61"/>
  <c r="AC135" i="60"/>
  <c r="AC136" i="60" s="1"/>
  <c r="AC137" i="60"/>
  <c r="AB142" i="60"/>
  <c r="AB143" i="60"/>
  <c r="AB144" i="60" s="1"/>
  <c r="AB147" i="60" s="1"/>
  <c r="AB148" i="60" s="1"/>
  <c r="AD103" i="60"/>
  <c r="AD101" i="60"/>
  <c r="AC83" i="60"/>
  <c r="AD87" i="60"/>
  <c r="AD88" i="60"/>
  <c r="AD152" i="60" s="1"/>
  <c r="AD85" i="60"/>
  <c r="AB67" i="60"/>
  <c r="AC70" i="60"/>
  <c r="AG73" i="61" l="1"/>
  <c r="AH76" i="61"/>
  <c r="AH77" i="61"/>
  <c r="AH89" i="61"/>
  <c r="AH105" i="61"/>
  <c r="AH106" i="61" s="1"/>
  <c r="AH126" i="61"/>
  <c r="AH122" i="61"/>
  <c r="AH125" i="61"/>
  <c r="AH132" i="61" s="1"/>
  <c r="AG141" i="61"/>
  <c r="AG142" i="61" s="1"/>
  <c r="AF138" i="61"/>
  <c r="AF144" i="61"/>
  <c r="AG143" i="61"/>
  <c r="AB151" i="60"/>
  <c r="AD150" i="60"/>
  <c r="AB82" i="60"/>
  <c r="AC86" i="60"/>
  <c r="AD105" i="60"/>
  <c r="AC102" i="60"/>
  <c r="AE104" i="60"/>
  <c r="AD90" i="60"/>
  <c r="AD94" i="60"/>
  <c r="AD95" i="60" s="1"/>
  <c r="AD75" i="60"/>
  <c r="AH109" i="61" l="1"/>
  <c r="AH107" i="61"/>
  <c r="AF149" i="61"/>
  <c r="AF150" i="61" s="1"/>
  <c r="AF148" i="61"/>
  <c r="AH93" i="61"/>
  <c r="AH158" i="61" s="1"/>
  <c r="AH90" i="61"/>
  <c r="AG88" i="61"/>
  <c r="AH92" i="61"/>
  <c r="AF72" i="61"/>
  <c r="AG75" i="61"/>
  <c r="AD74" i="60"/>
  <c r="AD92" i="60"/>
  <c r="AD93" i="60" s="1"/>
  <c r="AD80" i="60"/>
  <c r="AD129" i="60" s="1"/>
  <c r="AD78" i="60"/>
  <c r="AC76" i="60" s="1"/>
  <c r="AE113" i="60"/>
  <c r="AE106" i="60"/>
  <c r="AE107" i="60"/>
  <c r="AE111" i="60" s="1"/>
  <c r="AE108" i="60"/>
  <c r="AE109" i="60" s="1"/>
  <c r="AE123" i="60"/>
  <c r="AC124" i="60" s="1"/>
  <c r="AE112" i="60"/>
  <c r="AE117" i="60" s="1"/>
  <c r="AE122" i="60" s="1"/>
  <c r="AG91" i="61" l="1"/>
  <c r="AF87" i="61"/>
  <c r="AF153" i="61"/>
  <c r="AF154" i="61" s="1"/>
  <c r="AG108" i="61"/>
  <c r="AH111" i="61"/>
  <c r="AI110" i="61"/>
  <c r="AH95" i="61"/>
  <c r="AH99" i="61"/>
  <c r="AH100" i="61" s="1"/>
  <c r="AH80" i="61"/>
  <c r="AH79" i="61" s="1"/>
  <c r="AC130" i="60"/>
  <c r="AD121" i="60"/>
  <c r="AD77" i="60"/>
  <c r="AD134" i="60" s="1"/>
  <c r="AE69" i="60"/>
  <c r="AE114" i="60"/>
  <c r="AE119" i="60" s="1"/>
  <c r="AD96" i="60"/>
  <c r="AD97" i="60" s="1"/>
  <c r="AE84" i="60" l="1"/>
  <c r="AE99" i="60"/>
  <c r="AE100" i="60" s="1"/>
  <c r="AF157" i="61"/>
  <c r="AH85" i="61"/>
  <c r="AH135" i="61" s="1"/>
  <c r="AH83" i="61"/>
  <c r="AH97" i="61"/>
  <c r="AI118" i="61"/>
  <c r="AI113" i="61"/>
  <c r="AI117" i="61" s="1"/>
  <c r="AI129" i="61"/>
  <c r="AG130" i="61" s="1"/>
  <c r="AI114" i="61"/>
  <c r="AI115" i="61" s="1"/>
  <c r="AI119" i="61"/>
  <c r="AI112" i="61"/>
  <c r="AE126" i="60"/>
  <c r="AE120" i="60"/>
  <c r="AD140" i="60"/>
  <c r="AC132" i="60"/>
  <c r="AC138" i="60"/>
  <c r="AE116" i="60"/>
  <c r="AE72" i="60"/>
  <c r="AD68" i="60"/>
  <c r="AE71" i="60"/>
  <c r="AH101" i="61" l="1"/>
  <c r="AH102" i="61" s="1"/>
  <c r="AH98" i="61"/>
  <c r="AH82" i="61"/>
  <c r="AH140" i="61" s="1"/>
  <c r="AH146" i="61" s="1"/>
  <c r="AH127" i="61"/>
  <c r="AG81" i="61"/>
  <c r="AG136" i="61" s="1"/>
  <c r="AI123" i="61"/>
  <c r="AI128" i="61" s="1"/>
  <c r="AI120" i="61"/>
  <c r="AI74" i="61"/>
  <c r="AD137" i="60"/>
  <c r="AD135" i="60"/>
  <c r="AD136" i="60" s="1"/>
  <c r="AD83" i="60"/>
  <c r="AE85" i="60"/>
  <c r="AE88" i="60"/>
  <c r="AE152" i="60" s="1"/>
  <c r="AE87" i="60"/>
  <c r="AE103" i="60"/>
  <c r="AE101" i="60"/>
  <c r="AC143" i="60"/>
  <c r="AC144" i="60" s="1"/>
  <c r="AC147" i="60" s="1"/>
  <c r="AC148" i="60" s="1"/>
  <c r="AC142" i="60"/>
  <c r="AD70" i="60"/>
  <c r="AC67" i="60"/>
  <c r="AI89" i="61" l="1"/>
  <c r="AI77" i="61"/>
  <c r="AI76" i="61"/>
  <c r="AH73" i="61"/>
  <c r="AI105" i="61"/>
  <c r="AI106" i="61" s="1"/>
  <c r="AH143" i="61"/>
  <c r="AI126" i="61"/>
  <c r="AI122" i="61"/>
  <c r="AI125" i="61"/>
  <c r="AI132" i="61" s="1"/>
  <c r="AH141" i="61"/>
  <c r="AH142" i="61" s="1"/>
  <c r="AG138" i="61"/>
  <c r="AG144" i="61"/>
  <c r="AE94" i="60"/>
  <c r="AE95" i="60" s="1"/>
  <c r="AE90" i="60"/>
  <c r="AE75" i="60"/>
  <c r="AC151" i="60"/>
  <c r="AE105" i="60"/>
  <c r="AD102" i="60"/>
  <c r="AF104" i="60"/>
  <c r="AC82" i="60"/>
  <c r="AD86" i="60"/>
  <c r="AE150" i="60"/>
  <c r="AG149" i="61" l="1"/>
  <c r="AG150" i="61" s="1"/>
  <c r="AG148" i="61"/>
  <c r="AI92" i="61"/>
  <c r="AI90" i="61"/>
  <c r="AI93" i="61"/>
  <c r="AI158" i="61" s="1"/>
  <c r="AH88" i="61"/>
  <c r="AI109" i="61"/>
  <c r="AI107" i="61"/>
  <c r="AH75" i="61"/>
  <c r="AG72" i="61"/>
  <c r="AE78" i="60"/>
  <c r="AD76" i="60" s="1"/>
  <c r="AE92" i="60"/>
  <c r="AE93" i="60" s="1"/>
  <c r="AE80" i="60"/>
  <c r="AE129" i="60" s="1"/>
  <c r="AF108" i="60"/>
  <c r="AF109" i="60" s="1"/>
  <c r="AF106" i="60"/>
  <c r="AF107" i="60"/>
  <c r="AF111" i="60" s="1"/>
  <c r="AF112" i="60"/>
  <c r="AF117" i="60" s="1"/>
  <c r="AF122" i="60" s="1"/>
  <c r="AF123" i="60"/>
  <c r="AD124" i="60" s="1"/>
  <c r="AF113" i="60"/>
  <c r="AE74" i="60"/>
  <c r="AH91" i="61" l="1"/>
  <c r="AG87" i="61"/>
  <c r="AI111" i="61"/>
  <c r="AH108" i="61"/>
  <c r="AJ110" i="61"/>
  <c r="AI95" i="61"/>
  <c r="AI99" i="61"/>
  <c r="AI100" i="61" s="1"/>
  <c r="AI80" i="61"/>
  <c r="AI79" i="61" s="1"/>
  <c r="AG153" i="61"/>
  <c r="AF69" i="60"/>
  <c r="AF114" i="60"/>
  <c r="AF119" i="60" s="1"/>
  <c r="AE96" i="60"/>
  <c r="AE97" i="60" s="1"/>
  <c r="AE77" i="60"/>
  <c r="AE134" i="60" s="1"/>
  <c r="AE121" i="60"/>
  <c r="AD130" i="60"/>
  <c r="AF84" i="60" l="1"/>
  <c r="AF99" i="60"/>
  <c r="AJ114" i="61"/>
  <c r="AJ115" i="61" s="1"/>
  <c r="AJ113" i="61"/>
  <c r="AJ117" i="61" s="1"/>
  <c r="AJ112" i="61"/>
  <c r="AJ129" i="61"/>
  <c r="AH130" i="61" s="1"/>
  <c r="AJ118" i="61"/>
  <c r="AJ119" i="61"/>
  <c r="AI85" i="61"/>
  <c r="AI135" i="61" s="1"/>
  <c r="AI83" i="61"/>
  <c r="AI97" i="61"/>
  <c r="AG154" i="61"/>
  <c r="AG157" i="61"/>
  <c r="AF126" i="60"/>
  <c r="AF120" i="60"/>
  <c r="AE140" i="60"/>
  <c r="AD132" i="60"/>
  <c r="AD138" i="60"/>
  <c r="AF116" i="60"/>
  <c r="AF71" i="60"/>
  <c r="AE68" i="60"/>
  <c r="AF100" i="60"/>
  <c r="AF72" i="60"/>
  <c r="AI82" i="61" l="1"/>
  <c r="AI140" i="61" s="1"/>
  <c r="AI146" i="61" s="1"/>
  <c r="AI127" i="61"/>
  <c r="AH81" i="61"/>
  <c r="AH136" i="61" s="1"/>
  <c r="AI98" i="61"/>
  <c r="AI101" i="61"/>
  <c r="AI102" i="61" s="1"/>
  <c r="AJ123" i="61"/>
  <c r="AJ128" i="61" s="1"/>
  <c r="AJ74" i="61"/>
  <c r="AJ120" i="61"/>
  <c r="AE135" i="60"/>
  <c r="AE136" i="60" s="1"/>
  <c r="AE137" i="60"/>
  <c r="AF103" i="60"/>
  <c r="AF101" i="60"/>
  <c r="AD143" i="60"/>
  <c r="AD144" i="60" s="1"/>
  <c r="AD147" i="60" s="1"/>
  <c r="AD148" i="60" s="1"/>
  <c r="AD142" i="60"/>
  <c r="AD67" i="60"/>
  <c r="AE70" i="60"/>
  <c r="AF88" i="60"/>
  <c r="AF152" i="60" s="1"/>
  <c r="AE83" i="60"/>
  <c r="AF87" i="60"/>
  <c r="AF85" i="60"/>
  <c r="AI141" i="61" l="1"/>
  <c r="AI142" i="61" s="1"/>
  <c r="AJ125" i="61"/>
  <c r="AJ132" i="61" s="1"/>
  <c r="AJ126" i="61"/>
  <c r="AJ122" i="61"/>
  <c r="AJ77" i="61"/>
  <c r="AI73" i="61"/>
  <c r="AJ89" i="61"/>
  <c r="AJ76" i="61"/>
  <c r="AJ105" i="61"/>
  <c r="AJ106" i="61" s="1"/>
  <c r="AI143" i="61"/>
  <c r="AH138" i="61"/>
  <c r="AH144" i="61"/>
  <c r="AE86" i="60"/>
  <c r="AD82" i="60"/>
  <c r="AD151" i="60"/>
  <c r="AF105" i="60"/>
  <c r="AE102" i="60"/>
  <c r="AG104" i="60"/>
  <c r="AF90" i="60"/>
  <c r="AF94" i="60"/>
  <c r="AF95" i="60" s="1"/>
  <c r="AF75" i="60"/>
  <c r="AF150" i="60"/>
  <c r="AH149" i="61" l="1"/>
  <c r="AH150" i="61" s="1"/>
  <c r="AH148" i="61"/>
  <c r="AJ92" i="61"/>
  <c r="AJ90" i="61"/>
  <c r="AJ93" i="61"/>
  <c r="AJ158" i="61" s="1"/>
  <c r="AI88" i="61"/>
  <c r="AJ109" i="61"/>
  <c r="AJ107" i="61"/>
  <c r="AI75" i="61"/>
  <c r="AH72" i="61"/>
  <c r="AF74" i="60"/>
  <c r="AF92" i="60"/>
  <c r="AF93" i="60" s="1"/>
  <c r="AF78" i="60"/>
  <c r="AE76" i="60" s="1"/>
  <c r="AF80" i="60"/>
  <c r="AF129" i="60" s="1"/>
  <c r="AG113" i="60"/>
  <c r="AG123" i="60"/>
  <c r="AE124" i="60" s="1"/>
  <c r="AG106" i="60"/>
  <c r="AG112" i="60"/>
  <c r="AG117" i="60" s="1"/>
  <c r="AG122" i="60" s="1"/>
  <c r="AG108" i="60"/>
  <c r="AG109" i="60" s="1"/>
  <c r="AG107" i="60"/>
  <c r="AG111" i="60" s="1"/>
  <c r="AJ111" i="61" l="1"/>
  <c r="AI108" i="61"/>
  <c r="AK110" i="61"/>
  <c r="AJ95" i="61"/>
  <c r="AJ99" i="61"/>
  <c r="AJ100" i="61" s="1"/>
  <c r="AJ80" i="61"/>
  <c r="AH153" i="61"/>
  <c r="AH154" i="61" s="1"/>
  <c r="AH87" i="61"/>
  <c r="AI91" i="61"/>
  <c r="AE130" i="60"/>
  <c r="AF77" i="60"/>
  <c r="AF134" i="60" s="1"/>
  <c r="AF121" i="60"/>
  <c r="AG114" i="60"/>
  <c r="AG119" i="60" s="1"/>
  <c r="AG69" i="60"/>
  <c r="AF96" i="60"/>
  <c r="AF97" i="60" s="1"/>
  <c r="AG84" i="60" l="1"/>
  <c r="AG99" i="60"/>
  <c r="AG100" i="60" s="1"/>
  <c r="AJ85" i="61"/>
  <c r="AJ135" i="61" s="1"/>
  <c r="AJ83" i="61"/>
  <c r="AJ97" i="61"/>
  <c r="AJ79" i="61"/>
  <c r="AK129" i="61"/>
  <c r="AI130" i="61" s="1"/>
  <c r="AK119" i="61"/>
  <c r="AK114" i="61"/>
  <c r="AK115" i="61" s="1"/>
  <c r="AK112" i="61"/>
  <c r="AK113" i="61"/>
  <c r="AK117" i="61" s="1"/>
  <c r="AK118" i="61"/>
  <c r="AH157" i="61"/>
  <c r="AG126" i="60"/>
  <c r="AG120" i="60"/>
  <c r="AF140" i="60"/>
  <c r="AG71" i="60"/>
  <c r="AG72" i="60"/>
  <c r="AF68" i="60"/>
  <c r="AE132" i="60"/>
  <c r="AE138" i="60"/>
  <c r="AG116" i="60"/>
  <c r="AJ98" i="61" l="1"/>
  <c r="AJ101" i="61"/>
  <c r="AJ102" i="61" s="1"/>
  <c r="AK74" i="61"/>
  <c r="AK123" i="61"/>
  <c r="AK128" i="61" s="1"/>
  <c r="AK120" i="61"/>
  <c r="AJ82" i="61"/>
  <c r="AJ140" i="61" s="1"/>
  <c r="AJ146" i="61" s="1"/>
  <c r="AJ127" i="61"/>
  <c r="AI81" i="61"/>
  <c r="AI136" i="61" s="1"/>
  <c r="AF135" i="60"/>
  <c r="AF136" i="60" s="1"/>
  <c r="AF137" i="60"/>
  <c r="AE143" i="60"/>
  <c r="AE144" i="60" s="1"/>
  <c r="AE147" i="60" s="1"/>
  <c r="AE148" i="60" s="1"/>
  <c r="AE142" i="60"/>
  <c r="AG103" i="60"/>
  <c r="AG101" i="60"/>
  <c r="AF70" i="60"/>
  <c r="AE67" i="60"/>
  <c r="AG87" i="60"/>
  <c r="AG85" i="60"/>
  <c r="AF83" i="60"/>
  <c r="AG88" i="60"/>
  <c r="AG152" i="60" s="1"/>
  <c r="AJ141" i="61" l="1"/>
  <c r="AJ142" i="61" s="1"/>
  <c r="AI138" i="61"/>
  <c r="AI144" i="61"/>
  <c r="AK89" i="61"/>
  <c r="AK76" i="61"/>
  <c r="AK77" i="61"/>
  <c r="AJ73" i="61"/>
  <c r="AK105" i="61"/>
  <c r="AK106" i="61" s="1"/>
  <c r="AJ143" i="61"/>
  <c r="AK125" i="61"/>
  <c r="AK132" i="61" s="1"/>
  <c r="AK122" i="61"/>
  <c r="AK126" i="61"/>
  <c r="AG90" i="60"/>
  <c r="AG94" i="60"/>
  <c r="AG95" i="60" s="1"/>
  <c r="AG75" i="60"/>
  <c r="AE82" i="60"/>
  <c r="AF86" i="60"/>
  <c r="AG105" i="60"/>
  <c r="AF102" i="60"/>
  <c r="AH104" i="60"/>
  <c r="AE151" i="60"/>
  <c r="AG150" i="60"/>
  <c r="AK109" i="61" l="1"/>
  <c r="AK107" i="61"/>
  <c r="AI72" i="61"/>
  <c r="AJ75" i="61"/>
  <c r="AI149" i="61"/>
  <c r="AI150" i="61" s="1"/>
  <c r="AI148" i="61"/>
  <c r="AK93" i="61"/>
  <c r="AK158" i="61" s="1"/>
  <c r="AJ88" i="61"/>
  <c r="AK92" i="61"/>
  <c r="AK90" i="61"/>
  <c r="AG74" i="60"/>
  <c r="AG78" i="60"/>
  <c r="AF76" i="60" s="1"/>
  <c r="AG92" i="60"/>
  <c r="AG93" i="60" s="1"/>
  <c r="AG80" i="60"/>
  <c r="AG129" i="60" s="1"/>
  <c r="AH108" i="60"/>
  <c r="AH109" i="60" s="1"/>
  <c r="AH106" i="60"/>
  <c r="AH123" i="60"/>
  <c r="AF124" i="60" s="1"/>
  <c r="AH112" i="60"/>
  <c r="AH117" i="60" s="1"/>
  <c r="AH122" i="60" s="1"/>
  <c r="AH113" i="60"/>
  <c r="AH107" i="60"/>
  <c r="AH111" i="60" s="1"/>
  <c r="AI153" i="61" l="1"/>
  <c r="AI154" i="61" s="1"/>
  <c r="AK95" i="61"/>
  <c r="AK99" i="61"/>
  <c r="AK100" i="61" s="1"/>
  <c r="AK80" i="61"/>
  <c r="AI87" i="61"/>
  <c r="AJ91" i="61"/>
  <c r="AJ108" i="61"/>
  <c r="AK111" i="61"/>
  <c r="AL110" i="61"/>
  <c r="AH69" i="60"/>
  <c r="AH114" i="60"/>
  <c r="AH119" i="60" s="1"/>
  <c r="AG96" i="60"/>
  <c r="AG97" i="60" s="1"/>
  <c r="AG77" i="60"/>
  <c r="AG134" i="60" s="1"/>
  <c r="AG121" i="60"/>
  <c r="AF130" i="60"/>
  <c r="AH84" i="60" l="1"/>
  <c r="AH99" i="60"/>
  <c r="AH100" i="60" s="1"/>
  <c r="AI157" i="61"/>
  <c r="AK83" i="61"/>
  <c r="AK85" i="61"/>
  <c r="AK135" i="61" s="1"/>
  <c r="AK97" i="61"/>
  <c r="AK79" i="61"/>
  <c r="AL118" i="61"/>
  <c r="AL114" i="61"/>
  <c r="AL115" i="61" s="1"/>
  <c r="AL112" i="61"/>
  <c r="AL129" i="61"/>
  <c r="AJ130" i="61" s="1"/>
  <c r="AL119" i="61"/>
  <c r="AL113" i="61"/>
  <c r="AL117" i="61" s="1"/>
  <c r="AH126" i="60"/>
  <c r="AH120" i="60"/>
  <c r="AF132" i="60"/>
  <c r="AF138" i="60"/>
  <c r="AH116" i="60"/>
  <c r="AG68" i="60"/>
  <c r="AH71" i="60"/>
  <c r="AH72" i="60"/>
  <c r="AK98" i="61" l="1"/>
  <c r="AK101" i="61"/>
  <c r="AK102" i="61" s="1"/>
  <c r="AL123" i="61"/>
  <c r="AL128" i="61" s="1"/>
  <c r="AL120" i="61"/>
  <c r="AL74" i="61"/>
  <c r="AK82" i="61"/>
  <c r="AK140" i="61" s="1"/>
  <c r="AK146" i="61" s="1"/>
  <c r="AK127" i="61"/>
  <c r="AJ81" i="61"/>
  <c r="AJ136" i="61" s="1"/>
  <c r="AH87" i="60"/>
  <c r="AH88" i="60"/>
  <c r="AH152" i="60" s="1"/>
  <c r="AG83" i="60"/>
  <c r="AH85" i="60"/>
  <c r="AG140" i="60"/>
  <c r="AG137" i="60"/>
  <c r="AG135" i="60"/>
  <c r="AG136" i="60" s="1"/>
  <c r="AF67" i="60"/>
  <c r="AG70" i="60"/>
  <c r="AH103" i="60"/>
  <c r="AH101" i="60"/>
  <c r="AF143" i="60"/>
  <c r="AF144" i="60" s="1"/>
  <c r="AF147" i="60" s="1"/>
  <c r="AF148" i="60" s="1"/>
  <c r="AF142" i="60"/>
  <c r="AK73" i="61" l="1"/>
  <c r="AL89" i="61"/>
  <c r="AL76" i="61"/>
  <c r="AL77" i="61"/>
  <c r="AL105" i="61"/>
  <c r="AL106" i="61" s="1"/>
  <c r="AJ138" i="61"/>
  <c r="AJ144" i="61"/>
  <c r="AL125" i="61"/>
  <c r="AL132" i="61" s="1"/>
  <c r="AL122" i="61"/>
  <c r="AL126" i="61"/>
  <c r="AK141" i="61"/>
  <c r="AK142" i="61" s="1"/>
  <c r="AK143" i="61"/>
  <c r="AF151" i="60"/>
  <c r="AF82" i="60"/>
  <c r="AG86" i="60"/>
  <c r="AG102" i="60"/>
  <c r="AH105" i="60"/>
  <c r="AI104" i="60"/>
  <c r="AH90" i="60"/>
  <c r="AH94" i="60"/>
  <c r="AH95" i="60" s="1"/>
  <c r="AH75" i="60"/>
  <c r="AH150" i="60"/>
  <c r="AJ149" i="61" l="1"/>
  <c r="AJ150" i="61" s="1"/>
  <c r="AJ148" i="61"/>
  <c r="AK75" i="61"/>
  <c r="AJ72" i="61"/>
  <c r="AL92" i="61"/>
  <c r="AL90" i="61"/>
  <c r="AK88" i="61"/>
  <c r="AL93" i="61"/>
  <c r="AL158" i="61" s="1"/>
  <c r="AL109" i="61"/>
  <c r="AL107" i="61"/>
  <c r="AH80" i="60"/>
  <c r="AH129" i="60" s="1"/>
  <c r="AH92" i="60"/>
  <c r="AH93" i="60" s="1"/>
  <c r="AH78" i="60"/>
  <c r="AG76" i="60" s="1"/>
  <c r="AH74" i="60"/>
  <c r="AI113" i="60"/>
  <c r="AI108" i="60"/>
  <c r="AI109" i="60" s="1"/>
  <c r="AI107" i="60"/>
  <c r="AI111" i="60" s="1"/>
  <c r="AI106" i="60"/>
  <c r="AI123" i="60"/>
  <c r="AG124" i="60" s="1"/>
  <c r="AI112" i="60"/>
  <c r="AI117" i="60" s="1"/>
  <c r="AI122" i="60" s="1"/>
  <c r="AK91" i="61" l="1"/>
  <c r="AJ87" i="61"/>
  <c r="AK108" i="61"/>
  <c r="AL111" i="61"/>
  <c r="AM110" i="61"/>
  <c r="AL95" i="61"/>
  <c r="AL99" i="61"/>
  <c r="AL100" i="61" s="1"/>
  <c r="AL80" i="61"/>
  <c r="AL79" i="61" s="1"/>
  <c r="AJ153" i="61"/>
  <c r="AG130" i="60"/>
  <c r="AH77" i="60"/>
  <c r="AH134" i="60" s="1"/>
  <c r="AH121" i="60"/>
  <c r="AI69" i="60"/>
  <c r="AI114" i="60"/>
  <c r="AI119" i="60" s="1"/>
  <c r="AH96" i="60"/>
  <c r="AH97" i="60" s="1"/>
  <c r="AI84" i="60" l="1"/>
  <c r="AI99" i="60"/>
  <c r="AI100" i="60" s="1"/>
  <c r="AM129" i="61"/>
  <c r="AK130" i="61" s="1"/>
  <c r="AM118" i="61"/>
  <c r="AM113" i="61"/>
  <c r="AM117" i="61" s="1"/>
  <c r="AM119" i="61"/>
  <c r="AM112" i="61"/>
  <c r="AM114" i="61"/>
  <c r="AM115" i="61" s="1"/>
  <c r="AL85" i="61"/>
  <c r="AL135" i="61" s="1"/>
  <c r="AL83" i="61"/>
  <c r="AL97" i="61"/>
  <c r="AJ154" i="61"/>
  <c r="AJ157" i="61"/>
  <c r="AI126" i="60"/>
  <c r="AI120" i="60"/>
  <c r="AH140" i="60"/>
  <c r="AI116" i="60"/>
  <c r="AH68" i="60"/>
  <c r="AI72" i="60"/>
  <c r="AI71" i="60"/>
  <c r="AG132" i="60"/>
  <c r="AG138" i="60"/>
  <c r="AL82" i="61" l="1"/>
  <c r="AL140" i="61" s="1"/>
  <c r="AL146" i="61" s="1"/>
  <c r="AL127" i="61"/>
  <c r="AK81" i="61"/>
  <c r="AK136" i="61" s="1"/>
  <c r="AM123" i="61"/>
  <c r="AM128" i="61" s="1"/>
  <c r="AM120" i="61"/>
  <c r="AM74" i="61"/>
  <c r="AL101" i="61"/>
  <c r="AL102" i="61" s="1"/>
  <c r="AL98" i="61"/>
  <c r="AH135" i="60"/>
  <c r="AH136" i="60" s="1"/>
  <c r="AH137" i="60"/>
  <c r="AG142" i="60"/>
  <c r="AG143" i="60"/>
  <c r="AG144" i="60" s="1"/>
  <c r="AG147" i="60" s="1"/>
  <c r="AG148" i="60" s="1"/>
  <c r="AG67" i="60"/>
  <c r="AH70" i="60"/>
  <c r="AI88" i="60"/>
  <c r="AI152" i="60" s="1"/>
  <c r="AI85" i="60"/>
  <c r="AH83" i="60"/>
  <c r="AI87" i="60"/>
  <c r="AI103" i="60"/>
  <c r="AI101" i="60"/>
  <c r="AL143" i="61" l="1"/>
  <c r="AM77" i="61"/>
  <c r="AM89" i="61"/>
  <c r="AM76" i="61"/>
  <c r="AL73" i="61"/>
  <c r="AM105" i="61"/>
  <c r="AM106" i="61" s="1"/>
  <c r="AM126" i="61"/>
  <c r="AM122" i="61"/>
  <c r="AM125" i="61"/>
  <c r="AM132" i="61" s="1"/>
  <c r="AL141" i="61"/>
  <c r="AL142" i="61" s="1"/>
  <c r="AK138" i="61"/>
  <c r="AK144" i="61"/>
  <c r="AI150" i="60"/>
  <c r="AG151" i="60"/>
  <c r="AI94" i="60"/>
  <c r="AI95" i="60" s="1"/>
  <c r="AI90" i="60"/>
  <c r="AI75" i="60"/>
  <c r="AH102" i="60"/>
  <c r="AI105" i="60"/>
  <c r="AJ104" i="60"/>
  <c r="AG82" i="60"/>
  <c r="AH86" i="60"/>
  <c r="AK149" i="61" l="1"/>
  <c r="AK150" i="61" s="1"/>
  <c r="AK148" i="61"/>
  <c r="AK72" i="61"/>
  <c r="AL75" i="61"/>
  <c r="AM109" i="61"/>
  <c r="AM107" i="61"/>
  <c r="AM92" i="61"/>
  <c r="AM90" i="61"/>
  <c r="AM93" i="61"/>
  <c r="AM158" i="61" s="1"/>
  <c r="AL88" i="61"/>
  <c r="AI74" i="60"/>
  <c r="AI78" i="60"/>
  <c r="AH76" i="60" s="1"/>
  <c r="AI80" i="60"/>
  <c r="AI129" i="60" s="1"/>
  <c r="AI92" i="60"/>
  <c r="AI93" i="60" s="1"/>
  <c r="AJ106" i="60"/>
  <c r="AJ107" i="60"/>
  <c r="AJ111" i="60" s="1"/>
  <c r="AJ123" i="60"/>
  <c r="AH124" i="60" s="1"/>
  <c r="AJ108" i="60"/>
  <c r="AJ109" i="60" s="1"/>
  <c r="AJ113" i="60"/>
  <c r="AJ112" i="60"/>
  <c r="AJ117" i="60" s="1"/>
  <c r="AJ122" i="60" s="1"/>
  <c r="AK153" i="61" l="1"/>
  <c r="AK154" i="61" s="1"/>
  <c r="AM111" i="61"/>
  <c r="AM136" i="61" s="1"/>
  <c r="AM138" i="61" s="1"/>
  <c r="AL108" i="61"/>
  <c r="AN110" i="61"/>
  <c r="AM99" i="61"/>
  <c r="AM100" i="61" s="1"/>
  <c r="AM95" i="61"/>
  <c r="AM80" i="61"/>
  <c r="AM79" i="61" s="1"/>
  <c r="AK87" i="61"/>
  <c r="AL91" i="61"/>
  <c r="AI96" i="60"/>
  <c r="AI97" i="60" s="1"/>
  <c r="AJ114" i="60"/>
  <c r="AJ119" i="60" s="1"/>
  <c r="AJ69" i="60"/>
  <c r="AH130" i="60"/>
  <c r="AI121" i="60"/>
  <c r="AI77" i="60"/>
  <c r="AI134" i="60" s="1"/>
  <c r="AJ84" i="60" l="1"/>
  <c r="AJ99" i="60"/>
  <c r="AJ100" i="60" s="1"/>
  <c r="AK157" i="61"/>
  <c r="AM85" i="61"/>
  <c r="AM135" i="61" s="1"/>
  <c r="AM83" i="61"/>
  <c r="AM97" i="61"/>
  <c r="AN129" i="61"/>
  <c r="AN118" i="61"/>
  <c r="AN119" i="61"/>
  <c r="AN112" i="61"/>
  <c r="AN113" i="61"/>
  <c r="AN117" i="61" s="1"/>
  <c r="AN114" i="61"/>
  <c r="AN115" i="61" s="1"/>
  <c r="AJ126" i="60"/>
  <c r="AJ120" i="60"/>
  <c r="AI140" i="60"/>
  <c r="AH132" i="60"/>
  <c r="AH138" i="60"/>
  <c r="AJ71" i="60"/>
  <c r="AJ72" i="60"/>
  <c r="AI68" i="60"/>
  <c r="AJ116" i="60"/>
  <c r="AM101" i="61" l="1"/>
  <c r="AM102" i="61" s="1"/>
  <c r="AM98" i="61"/>
  <c r="AM82" i="61"/>
  <c r="AM140" i="61" s="1"/>
  <c r="AM146" i="61" s="1"/>
  <c r="AM149" i="61" s="1"/>
  <c r="AM127" i="61"/>
  <c r="AL81" i="61"/>
  <c r="AL136" i="61" s="1"/>
  <c r="AN120" i="61"/>
  <c r="AN123" i="61"/>
  <c r="AN128" i="61" s="1"/>
  <c r="AN74" i="61"/>
  <c r="AI135" i="60"/>
  <c r="AI136" i="60" s="1"/>
  <c r="AI137" i="60"/>
  <c r="AJ87" i="60"/>
  <c r="AJ88" i="60"/>
  <c r="AJ152" i="60" s="1"/>
  <c r="AI83" i="60"/>
  <c r="AJ85" i="60"/>
  <c r="AH67" i="60"/>
  <c r="AI70" i="60"/>
  <c r="AJ103" i="60"/>
  <c r="AJ101" i="60"/>
  <c r="AH143" i="60"/>
  <c r="AH144" i="60" s="1"/>
  <c r="AH147" i="60" s="1"/>
  <c r="AH148" i="60" s="1"/>
  <c r="AH142" i="60"/>
  <c r="AM143" i="61" l="1"/>
  <c r="AM141" i="61"/>
  <c r="AM142" i="61" s="1"/>
  <c r="AN122" i="61"/>
  <c r="AN125" i="61"/>
  <c r="AN132" i="61" s="1"/>
  <c r="AN126" i="61"/>
  <c r="AN89" i="61"/>
  <c r="AN76" i="61"/>
  <c r="AN77" i="61"/>
  <c r="AN105" i="61"/>
  <c r="AN106" i="61" s="1"/>
  <c r="AL138" i="61"/>
  <c r="AL144" i="61"/>
  <c r="AJ150" i="60"/>
  <c r="AH151" i="60"/>
  <c r="AJ90" i="60"/>
  <c r="AJ94" i="60"/>
  <c r="AJ95" i="60" s="1"/>
  <c r="AJ75" i="60"/>
  <c r="AJ74" i="60" s="1"/>
  <c r="AI102" i="60"/>
  <c r="AJ105" i="60"/>
  <c r="AK104" i="60"/>
  <c r="AH82" i="60"/>
  <c r="AI86" i="60"/>
  <c r="AN109" i="61" l="1"/>
  <c r="AN107" i="61"/>
  <c r="AL149" i="61"/>
  <c r="AL150" i="61" s="1"/>
  <c r="AL148" i="61"/>
  <c r="AM148" i="61" s="1"/>
  <c r="AM144" i="61"/>
  <c r="AL155" i="61" s="1"/>
  <c r="AN90" i="61"/>
  <c r="AN92" i="61"/>
  <c r="AN93" i="61"/>
  <c r="AN158" i="61" s="1"/>
  <c r="AJ78" i="60"/>
  <c r="AI76" i="60" s="1"/>
  <c r="AJ92" i="60"/>
  <c r="AJ93" i="60" s="1"/>
  <c r="AJ80" i="60"/>
  <c r="AJ129" i="60" s="1"/>
  <c r="AK112" i="60"/>
  <c r="AK117" i="60" s="1"/>
  <c r="AK122" i="60" s="1"/>
  <c r="AK106" i="60"/>
  <c r="AK107" i="60"/>
  <c r="AK111" i="60" s="1"/>
  <c r="AK108" i="60"/>
  <c r="AK109" i="60" s="1"/>
  <c r="AK123" i="60"/>
  <c r="AI124" i="60" s="1"/>
  <c r="AK113" i="60"/>
  <c r="AK155" i="61" l="1"/>
  <c r="AL153" i="61"/>
  <c r="AL154" i="61" s="1"/>
  <c r="C155" i="61"/>
  <c r="D155" i="61"/>
  <c r="E155" i="61"/>
  <c r="G155" i="61"/>
  <c r="F155" i="61"/>
  <c r="H155" i="61"/>
  <c r="I155" i="61"/>
  <c r="J155" i="61"/>
  <c r="K155" i="61"/>
  <c r="N155" i="61"/>
  <c r="M155" i="61"/>
  <c r="L155" i="61"/>
  <c r="O155" i="61"/>
  <c r="P155" i="61"/>
  <c r="Q155" i="61"/>
  <c r="S155" i="61"/>
  <c r="R155" i="61"/>
  <c r="T155" i="61"/>
  <c r="U155" i="61"/>
  <c r="V155" i="61"/>
  <c r="X155" i="61"/>
  <c r="W155" i="61"/>
  <c r="Y155" i="61"/>
  <c r="Z155" i="61"/>
  <c r="AB155" i="61"/>
  <c r="AA155" i="61"/>
  <c r="AC155" i="61"/>
  <c r="AD155" i="61"/>
  <c r="AE155" i="61"/>
  <c r="AG155" i="61"/>
  <c r="AF155" i="61"/>
  <c r="AH155" i="61"/>
  <c r="AI155" i="61"/>
  <c r="AM155" i="61"/>
  <c r="AN95" i="61"/>
  <c r="AN99" i="61"/>
  <c r="AN100" i="61" s="1"/>
  <c r="AN80" i="61"/>
  <c r="AN79" i="61" s="1"/>
  <c r="AJ155" i="61"/>
  <c r="AN111" i="61"/>
  <c r="AN136" i="61" s="1"/>
  <c r="AN138" i="61" s="1"/>
  <c r="AO110" i="61"/>
  <c r="AK114" i="60"/>
  <c r="AK119" i="60" s="1"/>
  <c r="AK69" i="60"/>
  <c r="AJ96" i="60"/>
  <c r="AJ97" i="60" s="1"/>
  <c r="AJ77" i="60"/>
  <c r="AJ134" i="60" s="1"/>
  <c r="AJ121" i="60"/>
  <c r="AI130" i="60"/>
  <c r="AK84" i="60" l="1"/>
  <c r="AK99" i="60"/>
  <c r="AK100" i="60" s="1"/>
  <c r="AO129" i="61"/>
  <c r="AO119" i="61"/>
  <c r="AO114" i="61"/>
  <c r="AO115" i="61" s="1"/>
  <c r="AO112" i="61"/>
  <c r="AO113" i="61"/>
  <c r="AO117" i="61" s="1"/>
  <c r="AO118" i="61"/>
  <c r="AN85" i="61"/>
  <c r="AN135" i="61" s="1"/>
  <c r="AN83" i="61"/>
  <c r="AN97" i="61"/>
  <c r="AL157" i="61"/>
  <c r="AM150" i="61"/>
  <c r="AK126" i="60"/>
  <c r="AK120" i="60"/>
  <c r="AJ140" i="60"/>
  <c r="AI132" i="60"/>
  <c r="AI138" i="60"/>
  <c r="AJ68" i="60"/>
  <c r="AK71" i="60"/>
  <c r="AK72" i="60"/>
  <c r="AK116" i="60"/>
  <c r="AN82" i="61" l="1"/>
  <c r="AN140" i="61" s="1"/>
  <c r="AN146" i="61" s="1"/>
  <c r="AN148" i="61" s="1"/>
  <c r="AN127" i="61"/>
  <c r="AM153" i="61"/>
  <c r="AM154" i="61" s="1"/>
  <c r="AO123" i="61"/>
  <c r="AO128" i="61" s="1"/>
  <c r="AO74" i="61"/>
  <c r="AO120" i="61"/>
  <c r="AN98" i="61"/>
  <c r="AN101" i="61"/>
  <c r="AN102" i="61" s="1"/>
  <c r="AJ137" i="60"/>
  <c r="AJ135" i="60"/>
  <c r="AJ136" i="60" s="1"/>
  <c r="AJ83" i="60"/>
  <c r="AK87" i="60"/>
  <c r="AK88" i="60"/>
  <c r="AK152" i="60" s="1"/>
  <c r="AK85" i="60"/>
  <c r="AK103" i="60"/>
  <c r="AK101" i="60"/>
  <c r="AI67" i="60"/>
  <c r="AJ70" i="60"/>
  <c r="AI143" i="60"/>
  <c r="AI144" i="60" s="1"/>
  <c r="AI147" i="60" s="1"/>
  <c r="AI148" i="60" s="1"/>
  <c r="AI142" i="60"/>
  <c r="AM157" i="61" l="1"/>
  <c r="AO89" i="61"/>
  <c r="AO76" i="61"/>
  <c r="AO77" i="61"/>
  <c r="AO105" i="61"/>
  <c r="AO106" i="61" s="1"/>
  <c r="AN141" i="61"/>
  <c r="AN142" i="61" s="1"/>
  <c r="AN144" i="61" s="1"/>
  <c r="AN149" i="61"/>
  <c r="AN150" i="61" s="1"/>
  <c r="AN155" i="61"/>
  <c r="AO125" i="61"/>
  <c r="AO132" i="61" s="1"/>
  <c r="AO122" i="61"/>
  <c r="AO126" i="61"/>
  <c r="AN143" i="61"/>
  <c r="AK150" i="60"/>
  <c r="AI151" i="60"/>
  <c r="AK90" i="60"/>
  <c r="AK94" i="60"/>
  <c r="AK95" i="60" s="1"/>
  <c r="AK75" i="60"/>
  <c r="AK105" i="60"/>
  <c r="AJ102" i="60"/>
  <c r="AL104" i="60"/>
  <c r="AI82" i="60"/>
  <c r="AJ86" i="60"/>
  <c r="AO109" i="61" l="1"/>
  <c r="AO107" i="61"/>
  <c r="AN153" i="61"/>
  <c r="AO93" i="61"/>
  <c r="AO158" i="61" s="1"/>
  <c r="AO90" i="61"/>
  <c r="AO92" i="61"/>
  <c r="AK74" i="60"/>
  <c r="AK92" i="60"/>
  <c r="AK93" i="60" s="1"/>
  <c r="AK80" i="60"/>
  <c r="AK129" i="60" s="1"/>
  <c r="AK78" i="60"/>
  <c r="AJ76" i="60" s="1"/>
  <c r="AL123" i="60"/>
  <c r="AJ124" i="60" s="1"/>
  <c r="AL107" i="60"/>
  <c r="AL111" i="60" s="1"/>
  <c r="AL108" i="60"/>
  <c r="AL109" i="60" s="1"/>
  <c r="AL112" i="60"/>
  <c r="AL117" i="60" s="1"/>
  <c r="AL122" i="60" s="1"/>
  <c r="AL113" i="60"/>
  <c r="AL106" i="60"/>
  <c r="AO95" i="61" l="1"/>
  <c r="AO99" i="61"/>
  <c r="AO100" i="61" s="1"/>
  <c r="AO80" i="61"/>
  <c r="AO79" i="61" s="1"/>
  <c r="AN154" i="61"/>
  <c r="AN157" i="61"/>
  <c r="AO111" i="61"/>
  <c r="AO136" i="61" s="1"/>
  <c r="AO138" i="61" s="1"/>
  <c r="AP110" i="61"/>
  <c r="AK96" i="60"/>
  <c r="AK97" i="60" s="1"/>
  <c r="AL69" i="60"/>
  <c r="AL114" i="60"/>
  <c r="AL119" i="60" s="1"/>
  <c r="AJ130" i="60"/>
  <c r="AK77" i="60"/>
  <c r="AK134" i="60" s="1"/>
  <c r="AK121" i="60"/>
  <c r="AL84" i="60" l="1"/>
  <c r="AL99" i="60"/>
  <c r="AL100" i="60" s="1"/>
  <c r="AP113" i="61"/>
  <c r="AP117" i="61" s="1"/>
  <c r="AP118" i="61"/>
  <c r="AP114" i="61"/>
  <c r="AP115" i="61" s="1"/>
  <c r="AP112" i="61"/>
  <c r="AP119" i="61"/>
  <c r="AP129" i="61"/>
  <c r="AO83" i="61"/>
  <c r="AO85" i="61"/>
  <c r="AO135" i="61" s="1"/>
  <c r="AO97" i="61"/>
  <c r="AL126" i="60"/>
  <c r="AL120" i="60"/>
  <c r="AK140" i="60"/>
  <c r="AJ132" i="60"/>
  <c r="AJ138" i="60"/>
  <c r="AL116" i="60"/>
  <c r="AK68" i="60"/>
  <c r="AL71" i="60"/>
  <c r="AL72" i="60"/>
  <c r="AP74" i="61" l="1"/>
  <c r="AP123" i="61"/>
  <c r="AP128" i="61" s="1"/>
  <c r="AP120" i="61"/>
  <c r="AO82" i="61"/>
  <c r="AO140" i="61" s="1"/>
  <c r="AO146" i="61" s="1"/>
  <c r="AO148" i="61" s="1"/>
  <c r="AO127" i="61"/>
  <c r="AO101" i="61"/>
  <c r="AO102" i="61" s="1"/>
  <c r="AO98" i="61"/>
  <c r="AK135" i="60"/>
  <c r="AK136" i="60" s="1"/>
  <c r="AK137" i="60"/>
  <c r="AL103" i="60"/>
  <c r="AL101" i="60"/>
  <c r="AL87" i="60"/>
  <c r="AL88" i="60"/>
  <c r="AL152" i="60" s="1"/>
  <c r="AL85" i="60"/>
  <c r="AK83" i="60"/>
  <c r="AJ142" i="60"/>
  <c r="AJ143" i="60"/>
  <c r="AJ144" i="60" s="1"/>
  <c r="AJ147" i="60" s="1"/>
  <c r="AJ148" i="60" s="1"/>
  <c r="AJ67" i="60"/>
  <c r="AK70" i="60"/>
  <c r="AP89" i="61" l="1"/>
  <c r="AP77" i="61"/>
  <c r="AP76" i="61"/>
  <c r="AP105" i="61"/>
  <c r="AP106" i="61" s="1"/>
  <c r="AO155" i="61"/>
  <c r="AO141" i="61"/>
  <c r="AO142" i="61" s="1"/>
  <c r="AO144" i="61" s="1"/>
  <c r="AO149" i="61"/>
  <c r="AO150" i="61" s="1"/>
  <c r="AP126" i="61"/>
  <c r="AP125" i="61"/>
  <c r="AP132" i="61" s="1"/>
  <c r="AP122" i="61"/>
  <c r="AO143" i="61"/>
  <c r="AJ82" i="60"/>
  <c r="AK86" i="60"/>
  <c r="AL90" i="60"/>
  <c r="AL94" i="60"/>
  <c r="AL95" i="60" s="1"/>
  <c r="AL75" i="60"/>
  <c r="AJ151" i="60"/>
  <c r="AK102" i="60"/>
  <c r="AL105" i="60"/>
  <c r="AM104" i="60"/>
  <c r="AL150" i="60"/>
  <c r="AP93" i="61" l="1"/>
  <c r="AP158" i="61" s="1"/>
  <c r="AP92" i="61"/>
  <c r="AP90" i="61"/>
  <c r="AP109" i="61"/>
  <c r="AP107" i="61"/>
  <c r="AO153" i="61"/>
  <c r="AM107" i="60"/>
  <c r="AM111" i="60" s="1"/>
  <c r="AM106" i="60"/>
  <c r="AM108" i="60"/>
  <c r="AM109" i="60" s="1"/>
  <c r="AM112" i="60"/>
  <c r="AM117" i="60" s="1"/>
  <c r="AM122" i="60" s="1"/>
  <c r="AM123" i="60"/>
  <c r="AK124" i="60" s="1"/>
  <c r="AM113" i="60"/>
  <c r="AL74" i="60"/>
  <c r="AL78" i="60"/>
  <c r="AK76" i="60" s="1"/>
  <c r="AL80" i="60"/>
  <c r="AL129" i="60" s="1"/>
  <c r="AL92" i="60"/>
  <c r="AL93" i="60" s="1"/>
  <c r="AP111" i="61" l="1"/>
  <c r="AP136" i="61" s="1"/>
  <c r="AP138" i="61" s="1"/>
  <c r="AQ110" i="61"/>
  <c r="AO154" i="61"/>
  <c r="AO157" i="61"/>
  <c r="AP95" i="61"/>
  <c r="AP99" i="61"/>
  <c r="AP100" i="61" s="1"/>
  <c r="AP80" i="61"/>
  <c r="AL77" i="60"/>
  <c r="AL134" i="60" s="1"/>
  <c r="AL121" i="60"/>
  <c r="AK130" i="60"/>
  <c r="AM69" i="60"/>
  <c r="AM114" i="60"/>
  <c r="AM119" i="60" s="1"/>
  <c r="AL96" i="60"/>
  <c r="AL97" i="60" s="1"/>
  <c r="AM84" i="60" l="1"/>
  <c r="AM99" i="60"/>
  <c r="AM100" i="60" s="1"/>
  <c r="AP85" i="61"/>
  <c r="AP135" i="61" s="1"/>
  <c r="AP83" i="61"/>
  <c r="AP97" i="61"/>
  <c r="AQ118" i="61"/>
  <c r="AQ113" i="61"/>
  <c r="AQ117" i="61" s="1"/>
  <c r="AQ114" i="61"/>
  <c r="AQ115" i="61" s="1"/>
  <c r="AQ112" i="61"/>
  <c r="AQ119" i="61"/>
  <c r="AQ129" i="61"/>
  <c r="AP79" i="61"/>
  <c r="AM126" i="60"/>
  <c r="AM120" i="60"/>
  <c r="AL137" i="60"/>
  <c r="AM72" i="60"/>
  <c r="AM71" i="60"/>
  <c r="AL68" i="60"/>
  <c r="AK132" i="60"/>
  <c r="AK138" i="60"/>
  <c r="AM116" i="60"/>
  <c r="AP82" i="61" l="1"/>
  <c r="AP140" i="61" s="1"/>
  <c r="AP146" i="61" s="1"/>
  <c r="AP148" i="61" s="1"/>
  <c r="AP127" i="61"/>
  <c r="AQ123" i="61"/>
  <c r="AQ128" i="61" s="1"/>
  <c r="AQ120" i="61"/>
  <c r="AQ74" i="61"/>
  <c r="AP101" i="61"/>
  <c r="AP102" i="61" s="1"/>
  <c r="AP98" i="61"/>
  <c r="AL135" i="60"/>
  <c r="AL136" i="60" s="1"/>
  <c r="AL140" i="60"/>
  <c r="AK143" i="60"/>
  <c r="AK144" i="60" s="1"/>
  <c r="AK147" i="60" s="1"/>
  <c r="AK148" i="60" s="1"/>
  <c r="AK142" i="60"/>
  <c r="AL83" i="60"/>
  <c r="AM87" i="60"/>
  <c r="AM88" i="60"/>
  <c r="AM152" i="60" s="1"/>
  <c r="AM85" i="60"/>
  <c r="AK67" i="60"/>
  <c r="AL70" i="60"/>
  <c r="AM103" i="60"/>
  <c r="AN104" i="60" s="1"/>
  <c r="AM101" i="60"/>
  <c r="AP143" i="61" l="1"/>
  <c r="AP155" i="61"/>
  <c r="AP149" i="61"/>
  <c r="AP150" i="61" s="1"/>
  <c r="AP153" i="61" s="1"/>
  <c r="AP157" i="61" s="1"/>
  <c r="AP141" i="61"/>
  <c r="AP142" i="61" s="1"/>
  <c r="AP144" i="61" s="1"/>
  <c r="AQ126" i="61"/>
  <c r="AQ125" i="61"/>
  <c r="AQ132" i="61" s="1"/>
  <c r="AQ122" i="61"/>
  <c r="AQ77" i="61"/>
  <c r="AQ76" i="61"/>
  <c r="AQ89" i="61"/>
  <c r="AQ105" i="61"/>
  <c r="AQ106" i="61" s="1"/>
  <c r="AN107" i="60"/>
  <c r="AN111" i="60" s="1"/>
  <c r="AN106" i="60"/>
  <c r="AN113" i="60"/>
  <c r="AN123" i="60"/>
  <c r="AL124" i="60" s="1"/>
  <c r="AN112" i="60"/>
  <c r="AN117" i="60" s="1"/>
  <c r="AN122" i="60" s="1"/>
  <c r="AN108" i="60"/>
  <c r="AN109" i="60" s="1"/>
  <c r="AK151" i="60"/>
  <c r="AM90" i="60"/>
  <c r="AM94" i="60"/>
  <c r="AM95" i="60" s="1"/>
  <c r="AM75" i="60"/>
  <c r="AM74" i="60" s="1"/>
  <c r="AM105" i="60"/>
  <c r="AM130" i="60" s="1"/>
  <c r="AL102" i="60"/>
  <c r="AK82" i="60"/>
  <c r="AL86" i="60"/>
  <c r="AM150" i="60"/>
  <c r="AP154" i="61" l="1"/>
  <c r="AQ92" i="61"/>
  <c r="AQ90" i="61"/>
  <c r="AQ93" i="61"/>
  <c r="AQ158" i="61" s="1"/>
  <c r="AQ109" i="61"/>
  <c r="AQ107" i="61"/>
  <c r="AN114" i="60"/>
  <c r="AN69" i="60"/>
  <c r="AM132" i="60"/>
  <c r="AM80" i="60"/>
  <c r="AM129" i="60" s="1"/>
  <c r="AM78" i="60"/>
  <c r="AL76" i="60" s="1"/>
  <c r="AM92" i="60"/>
  <c r="AM93" i="60" s="1"/>
  <c r="AN120" i="60" l="1"/>
  <c r="AN119" i="60"/>
  <c r="AN84" i="60"/>
  <c r="AN99" i="60"/>
  <c r="AN100" i="60" s="1"/>
  <c r="AQ95" i="61"/>
  <c r="AQ99" i="61"/>
  <c r="AQ100" i="61" s="1"/>
  <c r="AQ80" i="61"/>
  <c r="AQ111" i="61"/>
  <c r="AQ136" i="61" s="1"/>
  <c r="AQ138" i="61" s="1"/>
  <c r="AR110" i="61"/>
  <c r="AN72" i="60"/>
  <c r="AN71" i="60"/>
  <c r="AN116" i="60"/>
  <c r="AM77" i="60"/>
  <c r="AM134" i="60" s="1"/>
  <c r="AM121" i="60"/>
  <c r="AL130" i="60"/>
  <c r="AM96" i="60"/>
  <c r="AM97" i="60" s="1"/>
  <c r="AQ83" i="61" l="1"/>
  <c r="AQ97" i="61"/>
  <c r="AQ85" i="61"/>
  <c r="AQ135" i="61" s="1"/>
  <c r="AQ79" i="61"/>
  <c r="AR129" i="61"/>
  <c r="AR119" i="61"/>
  <c r="AR118" i="61"/>
  <c r="AR114" i="61"/>
  <c r="AR115" i="61" s="1"/>
  <c r="AR112" i="61"/>
  <c r="AR113" i="61"/>
  <c r="AR117" i="61" s="1"/>
  <c r="AN126" i="60"/>
  <c r="AN103" i="60"/>
  <c r="AN101" i="60"/>
  <c r="AN85" i="60"/>
  <c r="AN88" i="60"/>
  <c r="AN152" i="60" s="1"/>
  <c r="AN87" i="60"/>
  <c r="AM140" i="60"/>
  <c r="AM143" i="60" s="1"/>
  <c r="AL138" i="60"/>
  <c r="AL132" i="60"/>
  <c r="AR123" i="61" l="1"/>
  <c r="AR128" i="61" s="1"/>
  <c r="AR120" i="61"/>
  <c r="AR74" i="61"/>
  <c r="AQ101" i="61"/>
  <c r="AQ102" i="61" s="1"/>
  <c r="AQ98" i="61"/>
  <c r="AQ82" i="61"/>
  <c r="AQ140" i="61" s="1"/>
  <c r="AQ146" i="61" s="1"/>
  <c r="AQ148" i="61" s="1"/>
  <c r="AQ127" i="61"/>
  <c r="AN105" i="60"/>
  <c r="AO104" i="60"/>
  <c r="AN90" i="60"/>
  <c r="AN94" i="60"/>
  <c r="AN95" i="60" s="1"/>
  <c r="AN75" i="60"/>
  <c r="AN74" i="60" s="1"/>
  <c r="AM137" i="60"/>
  <c r="AM135" i="60"/>
  <c r="AM136" i="60" s="1"/>
  <c r="AM138" i="60" s="1"/>
  <c r="AM149" i="60" s="1"/>
  <c r="AL142" i="60"/>
  <c r="AM142" i="60" s="1"/>
  <c r="AL143" i="60"/>
  <c r="AL144" i="60" s="1"/>
  <c r="AQ143" i="61" l="1"/>
  <c r="AR126" i="61"/>
  <c r="AR125" i="61"/>
  <c r="AR132" i="61" s="1"/>
  <c r="AR122" i="61"/>
  <c r="AQ141" i="61"/>
  <c r="AQ142" i="61" s="1"/>
  <c r="AQ144" i="61" s="1"/>
  <c r="AR89" i="61"/>
  <c r="AR77" i="61"/>
  <c r="AR76" i="61"/>
  <c r="AR105" i="61"/>
  <c r="AR106" i="61" s="1"/>
  <c r="AQ155" i="61"/>
  <c r="AQ149" i="61"/>
  <c r="AQ150" i="61" s="1"/>
  <c r="AN130" i="60"/>
  <c r="AN132" i="60" s="1"/>
  <c r="AO107" i="60"/>
  <c r="AO111" i="60" s="1"/>
  <c r="AO106" i="60"/>
  <c r="AO113" i="60"/>
  <c r="AO123" i="60"/>
  <c r="AM124" i="60" s="1"/>
  <c r="AO112" i="60"/>
  <c r="AO117" i="60" s="1"/>
  <c r="AO122" i="60" s="1"/>
  <c r="AO108" i="60"/>
  <c r="AO109" i="60" s="1"/>
  <c r="AN78" i="60"/>
  <c r="AN80" i="60"/>
  <c r="AN129" i="60" s="1"/>
  <c r="AN92" i="60"/>
  <c r="AN93" i="60" s="1"/>
  <c r="E149" i="60"/>
  <c r="AB149" i="60"/>
  <c r="D149" i="60"/>
  <c r="G149" i="60"/>
  <c r="N149" i="60"/>
  <c r="T149" i="60"/>
  <c r="R149" i="60"/>
  <c r="J149" i="60"/>
  <c r="Y149" i="60"/>
  <c r="AG149" i="60"/>
  <c r="C149" i="60"/>
  <c r="K149" i="60"/>
  <c r="P149" i="60"/>
  <c r="AK149" i="60"/>
  <c r="AF149" i="60"/>
  <c r="H149" i="60"/>
  <c r="AC149" i="60"/>
  <c r="AE149" i="60"/>
  <c r="F149" i="60"/>
  <c r="AI149" i="60"/>
  <c r="U149" i="60"/>
  <c r="AA149" i="60"/>
  <c r="Q149" i="60"/>
  <c r="M149" i="60"/>
  <c r="I149" i="60"/>
  <c r="O149" i="60"/>
  <c r="AL149" i="60"/>
  <c r="AJ149" i="60"/>
  <c r="AD149" i="60"/>
  <c r="Z149" i="60"/>
  <c r="X149" i="60"/>
  <c r="AH149" i="60"/>
  <c r="W149" i="60"/>
  <c r="S149" i="60"/>
  <c r="L149" i="60"/>
  <c r="V149" i="60"/>
  <c r="AL147" i="60"/>
  <c r="AM144" i="60" s="1"/>
  <c r="AR93" i="61" l="1"/>
  <c r="AR158" i="61" s="1"/>
  <c r="AR92" i="61"/>
  <c r="AR90" i="61"/>
  <c r="AQ153" i="61"/>
  <c r="AR109" i="61"/>
  <c r="AR107" i="61"/>
  <c r="AO114" i="60"/>
  <c r="AO69" i="60"/>
  <c r="AN96" i="60"/>
  <c r="AN97" i="60" s="1"/>
  <c r="AN77" i="60"/>
  <c r="AN121" i="60"/>
  <c r="AM147" i="60"/>
  <c r="AM148" i="60" s="1"/>
  <c r="AL148" i="60"/>
  <c r="AL151" i="60"/>
  <c r="AO120" i="60" l="1"/>
  <c r="AO119" i="60"/>
  <c r="AO84" i="60"/>
  <c r="AO99" i="60"/>
  <c r="AO100" i="60" s="1"/>
  <c r="AR111" i="61"/>
  <c r="AR136" i="61" s="1"/>
  <c r="AR138" i="61" s="1"/>
  <c r="AS110" i="61"/>
  <c r="AR95" i="61"/>
  <c r="AR99" i="61"/>
  <c r="AR100" i="61" s="1"/>
  <c r="AR80" i="61"/>
  <c r="AQ154" i="61"/>
  <c r="AQ157" i="61"/>
  <c r="AN134" i="60"/>
  <c r="AN140" i="60" s="1"/>
  <c r="AO116" i="60"/>
  <c r="AO72" i="60"/>
  <c r="AO71" i="60"/>
  <c r="AM151" i="60"/>
  <c r="AR85" i="61" l="1"/>
  <c r="AR135" i="61" s="1"/>
  <c r="AR83" i="61"/>
  <c r="AR97" i="61"/>
  <c r="AR79" i="61"/>
  <c r="AS129" i="61"/>
  <c r="AS119" i="61"/>
  <c r="AS114" i="61"/>
  <c r="AS115" i="61" s="1"/>
  <c r="AS112" i="61"/>
  <c r="AS113" i="61"/>
  <c r="AS117" i="61" s="1"/>
  <c r="AS118" i="61"/>
  <c r="AN137" i="60"/>
  <c r="AN142" i="60"/>
  <c r="AN143" i="60"/>
  <c r="AN144" i="60" s="1"/>
  <c r="AN147" i="60" s="1"/>
  <c r="AN148" i="60" s="1"/>
  <c r="AN149" i="60"/>
  <c r="AN135" i="60"/>
  <c r="AN136" i="60" s="1"/>
  <c r="AN138" i="60" s="1"/>
  <c r="AO103" i="60"/>
  <c r="AO101" i="60"/>
  <c r="AO85" i="60"/>
  <c r="AO88" i="60"/>
  <c r="AO152" i="60" s="1"/>
  <c r="AO87" i="60"/>
  <c r="AO126" i="60"/>
  <c r="AR98" i="61" l="1"/>
  <c r="AR101" i="61"/>
  <c r="AR102" i="61" s="1"/>
  <c r="AS123" i="61"/>
  <c r="AS128" i="61" s="1"/>
  <c r="AS120" i="61"/>
  <c r="AS74" i="61"/>
  <c r="AR82" i="61"/>
  <c r="AR140" i="61" s="1"/>
  <c r="AR146" i="61" s="1"/>
  <c r="AR148" i="61" s="1"/>
  <c r="AR127" i="61"/>
  <c r="AO105" i="60"/>
  <c r="AP104" i="60"/>
  <c r="AN151" i="60"/>
  <c r="AO90" i="60"/>
  <c r="AO94" i="60"/>
  <c r="AO95" i="60" s="1"/>
  <c r="AO75" i="60"/>
  <c r="AR149" i="61" l="1"/>
  <c r="AR150" i="61" s="1"/>
  <c r="AR141" i="61"/>
  <c r="AR142" i="61" s="1"/>
  <c r="AR144" i="61" s="1"/>
  <c r="AS125" i="61"/>
  <c r="AS132" i="61" s="1"/>
  <c r="AS122" i="61"/>
  <c r="AS126" i="61"/>
  <c r="AR143" i="61"/>
  <c r="AR155" i="61"/>
  <c r="AS89" i="61"/>
  <c r="AS76" i="61"/>
  <c r="AS77" i="61"/>
  <c r="AS105" i="61"/>
  <c r="AS106" i="61" s="1"/>
  <c r="AO130" i="60"/>
  <c r="AO132" i="60" s="1"/>
  <c r="AP106" i="60"/>
  <c r="AP123" i="60"/>
  <c r="AN124" i="60" s="1"/>
  <c r="AP113" i="60"/>
  <c r="AP108" i="60"/>
  <c r="AP109" i="60" s="1"/>
  <c r="AP112" i="60"/>
  <c r="AP117" i="60" s="1"/>
  <c r="AP122" i="60" s="1"/>
  <c r="AP107" i="60"/>
  <c r="AP111" i="60" s="1"/>
  <c r="AO78" i="60"/>
  <c r="AO80" i="60"/>
  <c r="AO129" i="60" s="1"/>
  <c r="AO92" i="60"/>
  <c r="AO93" i="60" s="1"/>
  <c r="AO74" i="60"/>
  <c r="AS109" i="61" l="1"/>
  <c r="AS107" i="61"/>
  <c r="AS93" i="61"/>
  <c r="AS158" i="61" s="1"/>
  <c r="AS90" i="61"/>
  <c r="AS92" i="61"/>
  <c r="AR153" i="61"/>
  <c r="AR154" i="61" s="1"/>
  <c r="AP114" i="60"/>
  <c r="AP69" i="60"/>
  <c r="AO96" i="60"/>
  <c r="AO97" i="60" s="1"/>
  <c r="AO77" i="60"/>
  <c r="AO121" i="60"/>
  <c r="AP120" i="60" l="1"/>
  <c r="AP119" i="60"/>
  <c r="AP84" i="60"/>
  <c r="AP99" i="60"/>
  <c r="AP100" i="60" s="1"/>
  <c r="AS111" i="61"/>
  <c r="AS136" i="61" s="1"/>
  <c r="AS138" i="61" s="1"/>
  <c r="AT110" i="61"/>
  <c r="AS95" i="61"/>
  <c r="AS99" i="61"/>
  <c r="AS100" i="61" s="1"/>
  <c r="AS80" i="61"/>
  <c r="AR157" i="61"/>
  <c r="AO134" i="60"/>
  <c r="AO140" i="60" s="1"/>
  <c r="AP72" i="60"/>
  <c r="AP71" i="60"/>
  <c r="AP116" i="60"/>
  <c r="AS83" i="61" l="1"/>
  <c r="AS85" i="61"/>
  <c r="AS135" i="61" s="1"/>
  <c r="AS97" i="61"/>
  <c r="AS79" i="61"/>
  <c r="AT129" i="61"/>
  <c r="AT113" i="61"/>
  <c r="AT117" i="61" s="1"/>
  <c r="AT118" i="61"/>
  <c r="AT114" i="61"/>
  <c r="AT115" i="61" s="1"/>
  <c r="AT112" i="61"/>
  <c r="AT119" i="61"/>
  <c r="AO137" i="60"/>
  <c r="AO142" i="60"/>
  <c r="AO143" i="60"/>
  <c r="AO144" i="60" s="1"/>
  <c r="AO147" i="60" s="1"/>
  <c r="AO148" i="60" s="1"/>
  <c r="AO149" i="60"/>
  <c r="AO135" i="60"/>
  <c r="AO136" i="60" s="1"/>
  <c r="AO138" i="60" s="1"/>
  <c r="AP126" i="60"/>
  <c r="AP103" i="60"/>
  <c r="AP101" i="60"/>
  <c r="AP88" i="60"/>
  <c r="AP152" i="60" s="1"/>
  <c r="AP87" i="60"/>
  <c r="AP85" i="60"/>
  <c r="AT123" i="61" l="1"/>
  <c r="AT128" i="61" s="1"/>
  <c r="AT120" i="61"/>
  <c r="AT74" i="61"/>
  <c r="AS101" i="61"/>
  <c r="AS102" i="61" s="1"/>
  <c r="AS98" i="61"/>
  <c r="AS82" i="61"/>
  <c r="AS140" i="61" s="1"/>
  <c r="AS146" i="61" s="1"/>
  <c r="AS148" i="61" s="1"/>
  <c r="AS127" i="61"/>
  <c r="AO151" i="60"/>
  <c r="AP105" i="60"/>
  <c r="AQ104" i="60"/>
  <c r="AP90" i="60"/>
  <c r="AP94" i="60"/>
  <c r="AP95" i="60" s="1"/>
  <c r="AP75" i="60"/>
  <c r="AS141" i="61" l="1"/>
  <c r="AS142" i="61" s="1"/>
  <c r="AS144" i="61" s="1"/>
  <c r="AS143" i="61"/>
  <c r="AS149" i="61"/>
  <c r="AS150" i="61" s="1"/>
  <c r="AT89" i="61"/>
  <c r="AT77" i="61"/>
  <c r="AT76" i="61"/>
  <c r="AT105" i="61"/>
  <c r="AT106" i="61" s="1"/>
  <c r="AS155" i="61"/>
  <c r="AT122" i="61"/>
  <c r="AT125" i="61"/>
  <c r="AT132" i="61" s="1"/>
  <c r="AT126" i="61"/>
  <c r="AP130" i="60"/>
  <c r="AP132" i="60" s="1"/>
  <c r="AP78" i="60"/>
  <c r="AP80" i="60"/>
  <c r="AP129" i="60" s="1"/>
  <c r="AP92" i="60"/>
  <c r="AP93" i="60" s="1"/>
  <c r="AQ107" i="60"/>
  <c r="AQ111" i="60" s="1"/>
  <c r="AQ123" i="60"/>
  <c r="AO124" i="60" s="1"/>
  <c r="AQ112" i="60"/>
  <c r="AQ117" i="60" s="1"/>
  <c r="AQ122" i="60" s="1"/>
  <c r="AQ108" i="60"/>
  <c r="AQ109" i="60" s="1"/>
  <c r="AQ106" i="60"/>
  <c r="AQ113" i="60"/>
  <c r="AP74" i="60"/>
  <c r="AT93" i="61" l="1"/>
  <c r="AT158" i="61" s="1"/>
  <c r="AT92" i="61"/>
  <c r="AT90" i="61"/>
  <c r="AS153" i="61"/>
  <c r="AT109" i="61"/>
  <c r="AT107" i="61"/>
  <c r="AP96" i="60"/>
  <c r="AP97" i="60" s="1"/>
  <c r="AQ69" i="60"/>
  <c r="AQ114" i="60"/>
  <c r="AP77" i="60"/>
  <c r="AP121" i="60"/>
  <c r="AQ120" i="60" l="1"/>
  <c r="AQ119" i="60"/>
  <c r="AQ84" i="60"/>
  <c r="AQ99" i="60"/>
  <c r="AQ100" i="60" s="1"/>
  <c r="AT111" i="61"/>
  <c r="AT136" i="61" s="1"/>
  <c r="AT138" i="61" s="1"/>
  <c r="AU110" i="61"/>
  <c r="AT95" i="61"/>
  <c r="AT99" i="61"/>
  <c r="AT100" i="61" s="1"/>
  <c r="AT80" i="61"/>
  <c r="AS157" i="61"/>
  <c r="AS154" i="61"/>
  <c r="AP134" i="60"/>
  <c r="AP135" i="60" s="1"/>
  <c r="AP136" i="60" s="1"/>
  <c r="AP138" i="60" s="1"/>
  <c r="AQ116" i="60"/>
  <c r="AQ72" i="60"/>
  <c r="AQ71" i="60"/>
  <c r="AT85" i="61" l="1"/>
  <c r="AT135" i="61" s="1"/>
  <c r="AT83" i="61"/>
  <c r="AT97" i="61"/>
  <c r="AT79" i="61"/>
  <c r="AU118" i="61"/>
  <c r="AU113" i="61"/>
  <c r="AU117" i="61" s="1"/>
  <c r="AU129" i="61"/>
  <c r="AU114" i="61"/>
  <c r="AU115" i="61" s="1"/>
  <c r="AU112" i="61"/>
  <c r="AU119" i="61"/>
  <c r="AP149" i="60"/>
  <c r="AP137" i="60"/>
  <c r="AP140" i="60"/>
  <c r="AQ85" i="60"/>
  <c r="AQ88" i="60"/>
  <c r="AQ152" i="60" s="1"/>
  <c r="AQ87" i="60"/>
  <c r="AQ126" i="60"/>
  <c r="AQ103" i="60"/>
  <c r="AQ101" i="60"/>
  <c r="AT101" i="61" l="1"/>
  <c r="AT102" i="61" s="1"/>
  <c r="AT98" i="61"/>
  <c r="AT82" i="61"/>
  <c r="AT140" i="61" s="1"/>
  <c r="AT146" i="61" s="1"/>
  <c r="AT148" i="61" s="1"/>
  <c r="AT127" i="61"/>
  <c r="AU123" i="61"/>
  <c r="AU128" i="61" s="1"/>
  <c r="AU120" i="61"/>
  <c r="AU74" i="61"/>
  <c r="AP142" i="60"/>
  <c r="AP143" i="60"/>
  <c r="AP144" i="60" s="1"/>
  <c r="AP147" i="60" s="1"/>
  <c r="AP148" i="60" s="1"/>
  <c r="AQ90" i="60"/>
  <c r="AQ94" i="60"/>
  <c r="AQ95" i="60" s="1"/>
  <c r="AQ75" i="60"/>
  <c r="AQ74" i="60" s="1"/>
  <c r="AQ105" i="60"/>
  <c r="AR104" i="60"/>
  <c r="AT149" i="61" l="1"/>
  <c r="AT150" i="61" s="1"/>
  <c r="AT153" i="61" s="1"/>
  <c r="AT157" i="61" s="1"/>
  <c r="AT141" i="61"/>
  <c r="AT142" i="61" s="1"/>
  <c r="AT144" i="61" s="1"/>
  <c r="AU126" i="61"/>
  <c r="AU125" i="61"/>
  <c r="AU132" i="61" s="1"/>
  <c r="AU122" i="61"/>
  <c r="AU77" i="61"/>
  <c r="AU89" i="61"/>
  <c r="AU76" i="61"/>
  <c r="AU105" i="61"/>
  <c r="AU106" i="61" s="1"/>
  <c r="AT143" i="61"/>
  <c r="AT155" i="61"/>
  <c r="AP151" i="60"/>
  <c r="AQ130" i="60"/>
  <c r="AQ132" i="60" s="1"/>
  <c r="AR123" i="60"/>
  <c r="AP124" i="60" s="1"/>
  <c r="AR112" i="60"/>
  <c r="AR117" i="60" s="1"/>
  <c r="AR122" i="60" s="1"/>
  <c r="AR108" i="60"/>
  <c r="AR109" i="60" s="1"/>
  <c r="AR113" i="60"/>
  <c r="AR107" i="60"/>
  <c r="AR111" i="60" s="1"/>
  <c r="AR106" i="60"/>
  <c r="AQ78" i="60"/>
  <c r="AQ80" i="60"/>
  <c r="AQ129" i="60" s="1"/>
  <c r="AQ92" i="60"/>
  <c r="AQ93" i="60" s="1"/>
  <c r="AU92" i="61" l="1"/>
  <c r="AU90" i="61"/>
  <c r="AU93" i="61"/>
  <c r="AU158" i="61" s="1"/>
  <c r="AT154" i="61"/>
  <c r="AU109" i="61"/>
  <c r="AU107" i="61"/>
  <c r="AQ77" i="60"/>
  <c r="AQ121" i="60"/>
  <c r="AR114" i="60"/>
  <c r="AR69" i="60"/>
  <c r="AQ96" i="60"/>
  <c r="AQ97" i="60" s="1"/>
  <c r="AR120" i="60" l="1"/>
  <c r="AR119" i="60"/>
  <c r="AR84" i="60"/>
  <c r="AR99" i="60"/>
  <c r="AR100" i="60" s="1"/>
  <c r="AU99" i="61"/>
  <c r="AU100" i="61" s="1"/>
  <c r="AU95" i="61"/>
  <c r="AU80" i="61"/>
  <c r="AU79" i="61" s="1"/>
  <c r="AU111" i="61"/>
  <c r="AU136" i="61" s="1"/>
  <c r="AU138" i="61" s="1"/>
  <c r="AV110" i="61"/>
  <c r="AQ134" i="60"/>
  <c r="AQ140" i="60" s="1"/>
  <c r="AR71" i="60"/>
  <c r="AR72" i="60"/>
  <c r="AR116" i="60"/>
  <c r="AV114" i="61" l="1"/>
  <c r="AV115" i="61" s="1"/>
  <c r="AV113" i="61"/>
  <c r="AV117" i="61" s="1"/>
  <c r="AV112" i="61"/>
  <c r="AV119" i="61"/>
  <c r="AV118" i="61"/>
  <c r="AV129" i="61"/>
  <c r="AU85" i="61"/>
  <c r="AU135" i="61" s="1"/>
  <c r="AU83" i="61"/>
  <c r="AU97" i="61"/>
  <c r="AQ149" i="60"/>
  <c r="AQ135" i="60"/>
  <c r="AQ136" i="60" s="1"/>
  <c r="AQ138" i="60" s="1"/>
  <c r="AQ137" i="60"/>
  <c r="AQ142" i="60"/>
  <c r="AQ143" i="60"/>
  <c r="AQ144" i="60" s="1"/>
  <c r="AQ147" i="60" s="1"/>
  <c r="AR126" i="60"/>
  <c r="AR88" i="60"/>
  <c r="AR152" i="60" s="1"/>
  <c r="AR85" i="60"/>
  <c r="AR87" i="60"/>
  <c r="AR103" i="60"/>
  <c r="AR101" i="60"/>
  <c r="AU82" i="61" l="1"/>
  <c r="AU140" i="61" s="1"/>
  <c r="AU146" i="61" s="1"/>
  <c r="AU148" i="61" s="1"/>
  <c r="AU127" i="61"/>
  <c r="AU98" i="61"/>
  <c r="AU101" i="61"/>
  <c r="AU102" i="61" s="1"/>
  <c r="AV123" i="61"/>
  <c r="AV128" i="61" s="1"/>
  <c r="AV120" i="61"/>
  <c r="AV74" i="61"/>
  <c r="AR105" i="60"/>
  <c r="AS104" i="60"/>
  <c r="AQ148" i="60"/>
  <c r="AQ151" i="60"/>
  <c r="AR90" i="60"/>
  <c r="AR94" i="60"/>
  <c r="AR95" i="60" s="1"/>
  <c r="AR75" i="60"/>
  <c r="AU149" i="61" l="1"/>
  <c r="AU150" i="61" s="1"/>
  <c r="AU153" i="61" s="1"/>
  <c r="AU154" i="61" s="1"/>
  <c r="AV89" i="61"/>
  <c r="AV77" i="61"/>
  <c r="AV76" i="61"/>
  <c r="AV105" i="61"/>
  <c r="AV106" i="61" s="1"/>
  <c r="AU155" i="61"/>
  <c r="AV126" i="61"/>
  <c r="AV122" i="61"/>
  <c r="AV125" i="61"/>
  <c r="AV132" i="61" s="1"/>
  <c r="AU143" i="61"/>
  <c r="AU141" i="61"/>
  <c r="AU142" i="61" s="1"/>
  <c r="AU144" i="61" s="1"/>
  <c r="AR130" i="60"/>
  <c r="AR132" i="60" s="1"/>
  <c r="AS106" i="60"/>
  <c r="AS123" i="60"/>
  <c r="AQ124" i="60" s="1"/>
  <c r="AS112" i="60"/>
  <c r="AS117" i="60" s="1"/>
  <c r="AS122" i="60" s="1"/>
  <c r="AS108" i="60"/>
  <c r="AS109" i="60" s="1"/>
  <c r="AS107" i="60"/>
  <c r="AS111" i="60" s="1"/>
  <c r="AS113" i="60"/>
  <c r="AR80" i="60"/>
  <c r="AR129" i="60" s="1"/>
  <c r="AR78" i="60"/>
  <c r="AR92" i="60"/>
  <c r="AR93" i="60" s="1"/>
  <c r="AR74" i="60"/>
  <c r="AV109" i="61" l="1"/>
  <c r="AV107" i="61"/>
  <c r="AV93" i="61"/>
  <c r="AV158" i="61" s="1"/>
  <c r="AV92" i="61"/>
  <c r="AV90" i="61"/>
  <c r="AU157" i="61"/>
  <c r="AS114" i="60"/>
  <c r="AS69" i="60"/>
  <c r="AR96" i="60"/>
  <c r="AR97" i="60" s="1"/>
  <c r="AR77" i="60"/>
  <c r="AR121" i="60"/>
  <c r="AS120" i="60" l="1"/>
  <c r="AS119" i="60"/>
  <c r="AS84" i="60"/>
  <c r="AS99" i="60"/>
  <c r="AS100" i="60" s="1"/>
  <c r="AV95" i="61"/>
  <c r="AV99" i="61"/>
  <c r="AV100" i="61" s="1"/>
  <c r="AV80" i="61"/>
  <c r="AV79" i="61" s="1"/>
  <c r="AV111" i="61"/>
  <c r="AV136" i="61" s="1"/>
  <c r="AV138" i="61" s="1"/>
  <c r="AW110" i="61"/>
  <c r="AR134" i="60"/>
  <c r="AR140" i="60" s="1"/>
  <c r="AS71" i="60"/>
  <c r="AS72" i="60"/>
  <c r="AS116" i="60"/>
  <c r="AV83" i="61" l="1"/>
  <c r="AV85" i="61"/>
  <c r="AV135" i="61" s="1"/>
  <c r="AV97" i="61"/>
  <c r="AW129" i="61"/>
  <c r="AW119" i="61"/>
  <c r="AW114" i="61"/>
  <c r="AW115" i="61" s="1"/>
  <c r="AW112" i="61"/>
  <c r="AW118" i="61"/>
  <c r="AW113" i="61"/>
  <c r="AW117" i="61" s="1"/>
  <c r="AR142" i="60"/>
  <c r="AR143" i="60"/>
  <c r="AR144" i="60" s="1"/>
  <c r="AR147" i="60" s="1"/>
  <c r="AR135" i="60"/>
  <c r="AR136" i="60" s="1"/>
  <c r="AR138" i="60" s="1"/>
  <c r="AR137" i="60"/>
  <c r="AR149" i="60"/>
  <c r="AS126" i="60"/>
  <c r="AS103" i="60"/>
  <c r="AS101" i="60"/>
  <c r="AS88" i="60"/>
  <c r="AS152" i="60" s="1"/>
  <c r="AS85" i="60"/>
  <c r="AS87" i="60"/>
  <c r="AV82" i="61" l="1"/>
  <c r="AV140" i="61" s="1"/>
  <c r="AV146" i="61" s="1"/>
  <c r="AV148" i="61" s="1"/>
  <c r="AV127" i="61"/>
  <c r="AW74" i="61"/>
  <c r="AW120" i="61"/>
  <c r="AW123" i="61"/>
  <c r="AW128" i="61" s="1"/>
  <c r="AV98" i="61"/>
  <c r="AV101" i="61"/>
  <c r="AV102" i="61" s="1"/>
  <c r="AR151" i="60"/>
  <c r="AR148" i="60"/>
  <c r="AS105" i="60"/>
  <c r="AT104" i="60"/>
  <c r="AS90" i="60"/>
  <c r="AS94" i="60"/>
  <c r="AS95" i="60" s="1"/>
  <c r="AS75" i="60"/>
  <c r="AS74" i="60" s="1"/>
  <c r="AV149" i="61" l="1"/>
  <c r="AV150" i="61" s="1"/>
  <c r="AV153" i="61" s="1"/>
  <c r="AV157" i="61" s="1"/>
  <c r="AV143" i="61"/>
  <c r="AV155" i="61"/>
  <c r="AV141" i="61"/>
  <c r="AV142" i="61" s="1"/>
  <c r="AV144" i="61" s="1"/>
  <c r="AW125" i="61"/>
  <c r="AW132" i="61" s="1"/>
  <c r="AW122" i="61"/>
  <c r="AW126" i="61"/>
  <c r="AW89" i="61"/>
  <c r="AW76" i="61"/>
  <c r="AW77" i="61"/>
  <c r="AW105" i="61"/>
  <c r="AW106" i="61" s="1"/>
  <c r="AS130" i="60"/>
  <c r="AS132" i="60" s="1"/>
  <c r="AT107" i="60"/>
  <c r="AT111" i="60" s="1"/>
  <c r="AT113" i="60"/>
  <c r="AT123" i="60"/>
  <c r="AR124" i="60" s="1"/>
  <c r="AT112" i="60"/>
  <c r="AT117" i="60" s="1"/>
  <c r="AT122" i="60" s="1"/>
  <c r="AT108" i="60"/>
  <c r="AT109" i="60" s="1"/>
  <c r="AT106" i="60"/>
  <c r="AS78" i="60"/>
  <c r="AS92" i="60"/>
  <c r="AS93" i="60" s="1"/>
  <c r="AS80" i="60"/>
  <c r="AS129" i="60" s="1"/>
  <c r="AV154" i="61" l="1"/>
  <c r="AW109" i="61"/>
  <c r="AW107" i="61"/>
  <c r="AW93" i="61"/>
  <c r="AW158" i="61" s="1"/>
  <c r="AW92" i="61"/>
  <c r="AW90" i="61"/>
  <c r="AT114" i="60"/>
  <c r="AT69" i="60"/>
  <c r="AS77" i="60"/>
  <c r="AS121" i="60"/>
  <c r="AS96" i="60"/>
  <c r="AS97" i="60" s="1"/>
  <c r="AT120" i="60" l="1"/>
  <c r="AT119" i="60"/>
  <c r="AT84" i="60"/>
  <c r="AT99" i="60"/>
  <c r="AT100" i="60" s="1"/>
  <c r="AW95" i="61"/>
  <c r="AW99" i="61"/>
  <c r="AW100" i="61" s="1"/>
  <c r="AW80" i="61"/>
  <c r="AW111" i="61"/>
  <c r="AW136" i="61" s="1"/>
  <c r="AW138" i="61" s="1"/>
  <c r="AX110" i="61"/>
  <c r="AS134" i="60"/>
  <c r="AS149" i="60" s="1"/>
  <c r="AT71" i="60"/>
  <c r="AT72" i="60"/>
  <c r="AT116" i="60"/>
  <c r="AW83" i="61" l="1"/>
  <c r="AW85" i="61"/>
  <c r="AW135" i="61" s="1"/>
  <c r="AW97" i="61"/>
  <c r="AW79" i="61"/>
  <c r="AX129" i="61"/>
  <c r="AX119" i="61"/>
  <c r="AX114" i="61"/>
  <c r="AX115" i="61" s="1"/>
  <c r="AX113" i="61"/>
  <c r="AX117" i="61" s="1"/>
  <c r="AX118" i="61"/>
  <c r="AX112" i="61"/>
  <c r="AS137" i="60"/>
  <c r="AS140" i="60"/>
  <c r="AS135" i="60"/>
  <c r="AS136" i="60" s="1"/>
  <c r="AS138" i="60" s="1"/>
  <c r="AT85" i="60"/>
  <c r="AT87" i="60"/>
  <c r="AT88" i="60"/>
  <c r="AT152" i="60" s="1"/>
  <c r="AT126" i="60"/>
  <c r="AT103" i="60"/>
  <c r="AT101" i="60"/>
  <c r="AW101" i="61" l="1"/>
  <c r="AW102" i="61" s="1"/>
  <c r="AW98" i="61"/>
  <c r="AX120" i="61"/>
  <c r="AX123" i="61"/>
  <c r="AX128" i="61" s="1"/>
  <c r="AX74" i="61"/>
  <c r="AW82" i="61"/>
  <c r="AW140" i="61" s="1"/>
  <c r="AW146" i="61" s="1"/>
  <c r="AW148" i="61" s="1"/>
  <c r="AW127" i="61"/>
  <c r="AS142" i="60"/>
  <c r="AS143" i="60"/>
  <c r="AS144" i="60" s="1"/>
  <c r="AS147" i="60" s="1"/>
  <c r="AS148" i="60" s="1"/>
  <c r="AT105" i="60"/>
  <c r="AU104" i="60"/>
  <c r="AT90" i="60"/>
  <c r="AT94" i="60"/>
  <c r="AT95" i="60" s="1"/>
  <c r="AT75" i="60"/>
  <c r="AT74" i="60" s="1"/>
  <c r="AW149" i="61" l="1"/>
  <c r="AW150" i="61" s="1"/>
  <c r="AW141" i="61"/>
  <c r="AW142" i="61" s="1"/>
  <c r="AW144" i="61" s="1"/>
  <c r="AW155" i="61"/>
  <c r="AW143" i="61"/>
  <c r="AX77" i="61"/>
  <c r="AX89" i="61"/>
  <c r="AX76" i="61"/>
  <c r="AX105" i="61"/>
  <c r="AX106" i="61" s="1"/>
  <c r="AX126" i="61"/>
  <c r="AX125" i="61"/>
  <c r="AX132" i="61" s="1"/>
  <c r="AX122" i="61"/>
  <c r="AT130" i="60"/>
  <c r="AT132" i="60" s="1"/>
  <c r="AS151" i="60"/>
  <c r="AT80" i="60"/>
  <c r="AT129" i="60" s="1"/>
  <c r="AT78" i="60"/>
  <c r="AT92" i="60"/>
  <c r="AT93" i="60" s="1"/>
  <c r="AU123" i="60"/>
  <c r="AS124" i="60" s="1"/>
  <c r="AU112" i="60"/>
  <c r="AU117" i="60" s="1"/>
  <c r="AU122" i="60" s="1"/>
  <c r="AU108" i="60"/>
  <c r="AU109" i="60" s="1"/>
  <c r="AU106" i="60"/>
  <c r="AU113" i="60"/>
  <c r="AU107" i="60"/>
  <c r="AU111" i="60" s="1"/>
  <c r="AX93" i="61" l="1"/>
  <c r="AX158" i="61" s="1"/>
  <c r="AX90" i="61"/>
  <c r="AX92" i="61"/>
  <c r="AX109" i="61"/>
  <c r="AX107" i="61"/>
  <c r="AW153" i="61"/>
  <c r="AT96" i="60"/>
  <c r="AT97" i="60" s="1"/>
  <c r="AT77" i="60"/>
  <c r="AT121" i="60"/>
  <c r="AU114" i="60"/>
  <c r="AU69" i="60"/>
  <c r="AU120" i="60" l="1"/>
  <c r="AU119" i="60"/>
  <c r="AU84" i="60"/>
  <c r="AU99" i="60"/>
  <c r="AU100" i="60" s="1"/>
  <c r="AW154" i="61"/>
  <c r="AW157" i="61"/>
  <c r="AX111" i="61"/>
  <c r="AX136" i="61" s="1"/>
  <c r="AX138" i="61" s="1"/>
  <c r="AY110" i="61"/>
  <c r="AX95" i="61"/>
  <c r="AX99" i="61"/>
  <c r="AX100" i="61" s="1"/>
  <c r="AX80" i="61"/>
  <c r="AX79" i="61" s="1"/>
  <c r="AT134" i="60"/>
  <c r="AT140" i="60" s="1"/>
  <c r="AU71" i="60"/>
  <c r="AU72" i="60"/>
  <c r="AU116" i="60"/>
  <c r="AY118" i="61" l="1"/>
  <c r="AY113" i="61"/>
  <c r="AY117" i="61" s="1"/>
  <c r="AY129" i="61"/>
  <c r="AY119" i="61"/>
  <c r="AY112" i="61"/>
  <c r="AY114" i="61"/>
  <c r="AY115" i="61" s="1"/>
  <c r="AX85" i="61"/>
  <c r="AX135" i="61" s="1"/>
  <c r="AX83" i="61"/>
  <c r="AX97" i="61"/>
  <c r="AT142" i="60"/>
  <c r="AT143" i="60"/>
  <c r="AT144" i="60" s="1"/>
  <c r="AT147" i="60" s="1"/>
  <c r="AT148" i="60" s="1"/>
  <c r="AT137" i="60"/>
  <c r="AT135" i="60"/>
  <c r="AT136" i="60" s="1"/>
  <c r="AT138" i="60" s="1"/>
  <c r="AT149" i="60"/>
  <c r="AU87" i="60"/>
  <c r="AU88" i="60"/>
  <c r="AU152" i="60" s="1"/>
  <c r="AU85" i="60"/>
  <c r="AU126" i="60"/>
  <c r="AU103" i="60"/>
  <c r="AU101" i="60"/>
  <c r="AX82" i="61" l="1"/>
  <c r="AX140" i="61" s="1"/>
  <c r="AX146" i="61" s="1"/>
  <c r="AX148" i="61" s="1"/>
  <c r="AX127" i="61"/>
  <c r="AX101" i="61"/>
  <c r="AX102" i="61" s="1"/>
  <c r="AX98" i="61"/>
  <c r="AY123" i="61"/>
  <c r="AY128" i="61" s="1"/>
  <c r="AY120" i="61"/>
  <c r="AY74" i="61"/>
  <c r="AT151" i="60"/>
  <c r="AU105" i="60"/>
  <c r="AV104" i="60"/>
  <c r="AU90" i="60"/>
  <c r="AU94" i="60"/>
  <c r="AU95" i="60" s="1"/>
  <c r="AU75" i="60"/>
  <c r="AX141" i="61" l="1"/>
  <c r="AX142" i="61" s="1"/>
  <c r="AX144" i="61" s="1"/>
  <c r="AX155" i="61"/>
  <c r="AX143" i="61"/>
  <c r="AX149" i="61"/>
  <c r="AX150" i="61" s="1"/>
  <c r="AY126" i="61"/>
  <c r="AY122" i="61"/>
  <c r="AY125" i="61"/>
  <c r="AY132" i="61" s="1"/>
  <c r="AY89" i="61"/>
  <c r="AY77" i="61"/>
  <c r="AY76" i="61"/>
  <c r="AY105" i="61"/>
  <c r="AY106" i="61" s="1"/>
  <c r="AU130" i="60"/>
  <c r="AU132" i="60" s="1"/>
  <c r="AV113" i="60"/>
  <c r="AV107" i="60"/>
  <c r="AV111" i="60" s="1"/>
  <c r="AV108" i="60"/>
  <c r="AV109" i="60" s="1"/>
  <c r="AV123" i="60"/>
  <c r="AT124" i="60" s="1"/>
  <c r="AV112" i="60"/>
  <c r="AV117" i="60" s="1"/>
  <c r="AV122" i="60" s="1"/>
  <c r="AV106" i="60"/>
  <c r="AU80" i="60"/>
  <c r="AU129" i="60" s="1"/>
  <c r="AU78" i="60"/>
  <c r="AU92" i="60"/>
  <c r="AU93" i="60" s="1"/>
  <c r="AU74" i="60"/>
  <c r="AY92" i="61" l="1"/>
  <c r="AY90" i="61"/>
  <c r="AY93" i="61"/>
  <c r="AY158" i="61" s="1"/>
  <c r="AX153" i="61"/>
  <c r="AX154" i="61" s="1"/>
  <c r="AY109" i="61"/>
  <c r="AY107" i="61"/>
  <c r="AV114" i="60"/>
  <c r="AV69" i="60"/>
  <c r="AU96" i="60"/>
  <c r="AU97" i="60" s="1"/>
  <c r="AU77" i="60"/>
  <c r="AU121" i="60"/>
  <c r="AV120" i="60" l="1"/>
  <c r="AV119" i="60"/>
  <c r="AV84" i="60"/>
  <c r="AV99" i="60"/>
  <c r="AV100" i="60" s="1"/>
  <c r="AX157" i="61"/>
  <c r="AY111" i="61"/>
  <c r="AY136" i="61" s="1"/>
  <c r="AY138" i="61" s="1"/>
  <c r="AZ110" i="61"/>
  <c r="AY95" i="61"/>
  <c r="AY99" i="61"/>
  <c r="AY100" i="61" s="1"/>
  <c r="AY80" i="61"/>
  <c r="AU134" i="60"/>
  <c r="AU140" i="60" s="1"/>
  <c r="AU142" i="60" s="1"/>
  <c r="AV71" i="60"/>
  <c r="AV72" i="60"/>
  <c r="AV116" i="60"/>
  <c r="AY85" i="61" l="1"/>
  <c r="AY135" i="61" s="1"/>
  <c r="AY83" i="61"/>
  <c r="AY97" i="61"/>
  <c r="AY79" i="61"/>
  <c r="AZ129" i="61"/>
  <c r="AZ114" i="61"/>
  <c r="AZ115" i="61" s="1"/>
  <c r="AZ113" i="61"/>
  <c r="AZ117" i="61" s="1"/>
  <c r="AZ112" i="61"/>
  <c r="AZ119" i="61"/>
  <c r="AZ118" i="61"/>
  <c r="AU135" i="60"/>
  <c r="AU136" i="60" s="1"/>
  <c r="AU138" i="60" s="1"/>
  <c r="AU149" i="60"/>
  <c r="AU137" i="60"/>
  <c r="AU143" i="60"/>
  <c r="AU144" i="60" s="1"/>
  <c r="AU147" i="60" s="1"/>
  <c r="AU148" i="60" s="1"/>
  <c r="AV126" i="60"/>
  <c r="AV87" i="60"/>
  <c r="AV85" i="60"/>
  <c r="AV88" i="60"/>
  <c r="AV152" i="60" s="1"/>
  <c r="AV103" i="60"/>
  <c r="AV101" i="60"/>
  <c r="AY101" i="61" l="1"/>
  <c r="AY102" i="61" s="1"/>
  <c r="AY98" i="61"/>
  <c r="AZ123" i="61"/>
  <c r="AZ128" i="61" s="1"/>
  <c r="AZ74" i="61"/>
  <c r="AZ120" i="61"/>
  <c r="AY82" i="61"/>
  <c r="AY140" i="61" s="1"/>
  <c r="AY146" i="61" s="1"/>
  <c r="AY148" i="61" s="1"/>
  <c r="AY127" i="61"/>
  <c r="AU151" i="60"/>
  <c r="AV90" i="60"/>
  <c r="AV94" i="60"/>
  <c r="AV95" i="60" s="1"/>
  <c r="AV75" i="60"/>
  <c r="AV74" i="60" s="1"/>
  <c r="AV105" i="60"/>
  <c r="AW104" i="60"/>
  <c r="AY155" i="61" l="1"/>
  <c r="AY143" i="61"/>
  <c r="AY141" i="61"/>
  <c r="AY142" i="61" s="1"/>
  <c r="AY144" i="61" s="1"/>
  <c r="AZ77" i="61"/>
  <c r="AZ76" i="61"/>
  <c r="AZ89" i="61"/>
  <c r="AZ105" i="61"/>
  <c r="AZ106" i="61" s="1"/>
  <c r="AY149" i="61"/>
  <c r="AY150" i="61" s="1"/>
  <c r="AZ125" i="61"/>
  <c r="AZ132" i="61" s="1"/>
  <c r="AZ122" i="61"/>
  <c r="AZ126" i="61"/>
  <c r="AV130" i="60"/>
  <c r="AV132" i="60" s="1"/>
  <c r="AW123" i="60"/>
  <c r="AU124" i="60" s="1"/>
  <c r="AW112" i="60"/>
  <c r="AW117" i="60" s="1"/>
  <c r="AW122" i="60" s="1"/>
  <c r="AW108" i="60"/>
  <c r="AW109" i="60" s="1"/>
  <c r="AW106" i="60"/>
  <c r="AW107" i="60"/>
  <c r="AW111" i="60" s="1"/>
  <c r="AW113" i="60"/>
  <c r="AV78" i="60"/>
  <c r="AV80" i="60"/>
  <c r="AV129" i="60" s="1"/>
  <c r="AV92" i="60"/>
  <c r="AV93" i="60" s="1"/>
  <c r="AZ109" i="61" l="1"/>
  <c r="AZ107" i="61"/>
  <c r="AY153" i="61"/>
  <c r="AY154" i="61" s="1"/>
  <c r="AZ93" i="61"/>
  <c r="AZ158" i="61" s="1"/>
  <c r="AZ90" i="61"/>
  <c r="AZ92" i="61"/>
  <c r="AV77" i="60"/>
  <c r="AV121" i="60"/>
  <c r="AW114" i="60"/>
  <c r="AW69" i="60"/>
  <c r="AV96" i="60"/>
  <c r="AV97" i="60" s="1"/>
  <c r="AW120" i="60" l="1"/>
  <c r="AW119" i="60"/>
  <c r="AW84" i="60"/>
  <c r="AW99" i="60"/>
  <c r="AW100" i="60" s="1"/>
  <c r="AZ95" i="61"/>
  <c r="AZ99" i="61"/>
  <c r="AZ100" i="61" s="1"/>
  <c r="AZ80" i="61"/>
  <c r="AY157" i="61"/>
  <c r="AZ111" i="61"/>
  <c r="AZ136" i="61" s="1"/>
  <c r="AZ138" i="61" s="1"/>
  <c r="BA110" i="61"/>
  <c r="AV134" i="60"/>
  <c r="AV140" i="60" s="1"/>
  <c r="AW72" i="60"/>
  <c r="AW71" i="60"/>
  <c r="AW116" i="60"/>
  <c r="AZ83" i="61" l="1"/>
  <c r="AZ85" i="61"/>
  <c r="AZ135" i="61" s="1"/>
  <c r="AZ97" i="61"/>
  <c r="BA129" i="61"/>
  <c r="BA119" i="61"/>
  <c r="BA114" i="61"/>
  <c r="BA115" i="61" s="1"/>
  <c r="BA112" i="61"/>
  <c r="BA113" i="61"/>
  <c r="BA117" i="61" s="1"/>
  <c r="BA118" i="61"/>
  <c r="AZ79" i="61"/>
  <c r="AV149" i="60"/>
  <c r="AV135" i="60"/>
  <c r="AV136" i="60" s="1"/>
  <c r="AV138" i="60" s="1"/>
  <c r="AV142" i="60"/>
  <c r="AV143" i="60"/>
  <c r="AV144" i="60" s="1"/>
  <c r="AV147" i="60" s="1"/>
  <c r="AV148" i="60" s="1"/>
  <c r="AV137" i="60"/>
  <c r="AW103" i="60"/>
  <c r="AW101" i="60"/>
  <c r="AW126" i="60"/>
  <c r="AW88" i="60"/>
  <c r="AW152" i="60" s="1"/>
  <c r="AW87" i="60"/>
  <c r="AW85" i="60"/>
  <c r="AZ98" i="61" l="1"/>
  <c r="AZ101" i="61"/>
  <c r="AZ102" i="61" s="1"/>
  <c r="BA123" i="61"/>
  <c r="BA128" i="61" s="1"/>
  <c r="BA74" i="61"/>
  <c r="BA120" i="61"/>
  <c r="AZ82" i="61"/>
  <c r="AZ140" i="61" s="1"/>
  <c r="AZ146" i="61" s="1"/>
  <c r="AZ148" i="61" s="1"/>
  <c r="AZ127" i="61"/>
  <c r="AV151" i="60"/>
  <c r="AW90" i="60"/>
  <c r="AW94" i="60"/>
  <c r="AW95" i="60" s="1"/>
  <c r="AW75" i="60"/>
  <c r="AW105" i="60"/>
  <c r="AX104" i="60"/>
  <c r="AZ149" i="61" l="1"/>
  <c r="AZ150" i="61" s="1"/>
  <c r="BA125" i="61"/>
  <c r="BA132" i="61" s="1"/>
  <c r="BA122" i="61"/>
  <c r="BA126" i="61"/>
  <c r="AZ155" i="61"/>
  <c r="BA89" i="61"/>
  <c r="BA76" i="61"/>
  <c r="BA77" i="61"/>
  <c r="BA105" i="61"/>
  <c r="BA106" i="61" s="1"/>
  <c r="AZ143" i="61"/>
  <c r="AZ141" i="61"/>
  <c r="AZ142" i="61" s="1"/>
  <c r="AZ144" i="61" s="1"/>
  <c r="AW130" i="60"/>
  <c r="AW132" i="60" s="1"/>
  <c r="AW80" i="60"/>
  <c r="AW129" i="60" s="1"/>
  <c r="AW78" i="60"/>
  <c r="AW92" i="60"/>
  <c r="AW93" i="60" s="1"/>
  <c r="AW74" i="60"/>
  <c r="AX123" i="60"/>
  <c r="AV124" i="60" s="1"/>
  <c r="AX112" i="60"/>
  <c r="AX117" i="60" s="1"/>
  <c r="AX122" i="60" s="1"/>
  <c r="AX108" i="60"/>
  <c r="AX109" i="60" s="1"/>
  <c r="AX106" i="60"/>
  <c r="AX113" i="60"/>
  <c r="AX107" i="60"/>
  <c r="AX111" i="60" s="1"/>
  <c r="BA109" i="61" l="1"/>
  <c r="BA107" i="61"/>
  <c r="BA93" i="61"/>
  <c r="BA158" i="61" s="1"/>
  <c r="BA90" i="61"/>
  <c r="BA92" i="61"/>
  <c r="AZ153" i="61"/>
  <c r="AW96" i="60"/>
  <c r="AW97" i="60" s="1"/>
  <c r="AX114" i="60"/>
  <c r="AX69" i="60"/>
  <c r="AW77" i="60"/>
  <c r="AW121" i="60"/>
  <c r="AX120" i="60" l="1"/>
  <c r="AX119" i="60"/>
  <c r="AX84" i="60"/>
  <c r="AX99" i="60"/>
  <c r="AX100" i="60" s="1"/>
  <c r="BA95" i="61"/>
  <c r="BA99" i="61"/>
  <c r="BA100" i="61" s="1"/>
  <c r="BA80" i="61"/>
  <c r="BA79" i="61" s="1"/>
  <c r="AZ157" i="61"/>
  <c r="AZ154" i="61"/>
  <c r="BA111" i="61"/>
  <c r="BA136" i="61" s="1"/>
  <c r="BA138" i="61" s="1"/>
  <c r="BB110" i="61"/>
  <c r="AW134" i="60"/>
  <c r="AW140" i="60" s="1"/>
  <c r="AX116" i="60"/>
  <c r="AX72" i="60"/>
  <c r="AX71" i="60"/>
  <c r="BB129" i="61" l="1"/>
  <c r="BB118" i="61"/>
  <c r="BB114" i="61"/>
  <c r="BB115" i="61" s="1"/>
  <c r="BB112" i="61"/>
  <c r="BB119" i="61"/>
  <c r="BB113" i="61"/>
  <c r="BB117" i="61" s="1"/>
  <c r="BA83" i="61"/>
  <c r="BA85" i="61"/>
  <c r="BA135" i="61" s="1"/>
  <c r="BA97" i="61"/>
  <c r="AW149" i="60"/>
  <c r="AW142" i="60"/>
  <c r="AW143" i="60"/>
  <c r="AW144" i="60" s="1"/>
  <c r="AW147" i="60" s="1"/>
  <c r="AW148" i="60" s="1"/>
  <c r="AW137" i="60"/>
  <c r="AW135" i="60"/>
  <c r="AW136" i="60" s="1"/>
  <c r="AW138" i="60" s="1"/>
  <c r="AX103" i="60"/>
  <c r="AX101" i="60"/>
  <c r="AX126" i="60"/>
  <c r="AX88" i="60"/>
  <c r="AX152" i="60" s="1"/>
  <c r="AX87" i="60"/>
  <c r="AX85" i="60"/>
  <c r="BB120" i="61" l="1"/>
  <c r="BB74" i="61"/>
  <c r="BB123" i="61"/>
  <c r="BB128" i="61" s="1"/>
  <c r="BA82" i="61"/>
  <c r="BA140" i="61" s="1"/>
  <c r="BA146" i="61" s="1"/>
  <c r="BA148" i="61" s="1"/>
  <c r="BA127" i="61"/>
  <c r="BA98" i="61"/>
  <c r="BA101" i="61"/>
  <c r="BA102" i="61" s="1"/>
  <c r="AW151" i="60"/>
  <c r="AX105" i="60"/>
  <c r="AY104" i="60"/>
  <c r="AX90" i="60"/>
  <c r="AX94" i="60"/>
  <c r="AX95" i="60" s="1"/>
  <c r="AX75" i="60"/>
  <c r="BB89" i="61" l="1"/>
  <c r="BB76" i="61"/>
  <c r="BB77" i="61"/>
  <c r="BB105" i="61"/>
  <c r="BB106" i="61" s="1"/>
  <c r="BA149" i="61"/>
  <c r="BA150" i="61" s="1"/>
  <c r="BA143" i="61"/>
  <c r="BB122" i="61"/>
  <c r="BB126" i="61"/>
  <c r="BB125" i="61"/>
  <c r="BB132" i="61" s="1"/>
  <c r="BA141" i="61"/>
  <c r="BA142" i="61" s="1"/>
  <c r="BA144" i="61" s="1"/>
  <c r="BA155" i="61"/>
  <c r="AX130" i="60"/>
  <c r="AX132" i="60" s="1"/>
  <c r="AX80" i="60"/>
  <c r="AX129" i="60" s="1"/>
  <c r="AX78" i="60"/>
  <c r="AX92" i="60"/>
  <c r="AX93" i="60" s="1"/>
  <c r="AY113" i="60"/>
  <c r="AY107" i="60"/>
  <c r="AY111" i="60" s="1"/>
  <c r="AY108" i="60"/>
  <c r="AY109" i="60" s="1"/>
  <c r="AY123" i="60"/>
  <c r="AW124" i="60" s="1"/>
  <c r="AY112" i="60"/>
  <c r="AY117" i="60" s="1"/>
  <c r="AY122" i="60" s="1"/>
  <c r="AY106" i="60"/>
  <c r="AX74" i="60"/>
  <c r="BA153" i="61" l="1"/>
  <c r="BB109" i="61"/>
  <c r="BB107" i="61"/>
  <c r="BB92" i="61"/>
  <c r="BB93" i="61"/>
  <c r="BB158" i="61" s="1"/>
  <c r="BB90" i="61"/>
  <c r="AY69" i="60"/>
  <c r="AY114" i="60"/>
  <c r="AX96" i="60"/>
  <c r="AX97" i="60" s="1"/>
  <c r="AX77" i="60"/>
  <c r="AX121" i="60"/>
  <c r="AY120" i="60" l="1"/>
  <c r="AY119" i="60"/>
  <c r="AY84" i="60"/>
  <c r="AY99" i="60"/>
  <c r="AY100" i="60" s="1"/>
  <c r="BA154" i="61"/>
  <c r="BA157" i="61"/>
  <c r="BB95" i="61"/>
  <c r="BB99" i="61"/>
  <c r="BB100" i="61" s="1"/>
  <c r="BB80" i="61"/>
  <c r="BB79" i="61" s="1"/>
  <c r="BB111" i="61"/>
  <c r="BB136" i="61" s="1"/>
  <c r="BB138" i="61" s="1"/>
  <c r="BC110" i="61"/>
  <c r="AX134" i="60"/>
  <c r="AX140" i="60" s="1"/>
  <c r="AY116" i="60"/>
  <c r="AY71" i="60"/>
  <c r="AY72" i="60"/>
  <c r="BC129" i="61" l="1"/>
  <c r="BC118" i="61"/>
  <c r="BC113" i="61"/>
  <c r="BC117" i="61" s="1"/>
  <c r="BC119" i="61"/>
  <c r="BC114" i="61"/>
  <c r="BC115" i="61" s="1"/>
  <c r="BC112" i="61"/>
  <c r="BB85" i="61"/>
  <c r="BB135" i="61" s="1"/>
  <c r="BB83" i="61"/>
  <c r="BB97" i="61"/>
  <c r="AX135" i="60"/>
  <c r="AX136" i="60" s="1"/>
  <c r="AX138" i="60" s="1"/>
  <c r="AX142" i="60"/>
  <c r="AX143" i="60"/>
  <c r="AX144" i="60" s="1"/>
  <c r="AX147" i="60" s="1"/>
  <c r="AX151" i="60" s="1"/>
  <c r="AX149" i="60"/>
  <c r="AX137" i="60"/>
  <c r="AY126" i="60"/>
  <c r="AY103" i="60"/>
  <c r="AY101" i="60"/>
  <c r="AY87" i="60"/>
  <c r="AY85" i="60"/>
  <c r="AY88" i="60"/>
  <c r="AY152" i="60" s="1"/>
  <c r="BC123" i="61" l="1"/>
  <c r="BC128" i="61" s="1"/>
  <c r="BC120" i="61"/>
  <c r="BC74" i="61"/>
  <c r="BB101" i="61"/>
  <c r="BB102" i="61" s="1"/>
  <c r="BB98" i="61"/>
  <c r="BB82" i="61"/>
  <c r="BB140" i="61" s="1"/>
  <c r="BB146" i="61" s="1"/>
  <c r="BB148" i="61" s="1"/>
  <c r="BB127" i="61"/>
  <c r="AX148" i="60"/>
  <c r="AY105" i="60"/>
  <c r="AZ104" i="60"/>
  <c r="AY90" i="60"/>
  <c r="AY94" i="60"/>
  <c r="AY95" i="60" s="1"/>
  <c r="AY75" i="60"/>
  <c r="BB143" i="61" l="1"/>
  <c r="BB141" i="61"/>
  <c r="BB142" i="61" s="1"/>
  <c r="BB144" i="61" s="1"/>
  <c r="BB149" i="61"/>
  <c r="BB150" i="61" s="1"/>
  <c r="BC77" i="61"/>
  <c r="BC89" i="61"/>
  <c r="BC76" i="61"/>
  <c r="BC105" i="61"/>
  <c r="BC106" i="61" s="1"/>
  <c r="BC126" i="61"/>
  <c r="BC125" i="61"/>
  <c r="BC132" i="61" s="1"/>
  <c r="BC122" i="61"/>
  <c r="BB155" i="61"/>
  <c r="AY130" i="60"/>
  <c r="AY132" i="60" s="1"/>
  <c r="AY80" i="60"/>
  <c r="AY129" i="60" s="1"/>
  <c r="AY78" i="60"/>
  <c r="AY92" i="60"/>
  <c r="AY93" i="60" s="1"/>
  <c r="AZ113" i="60"/>
  <c r="AZ107" i="60"/>
  <c r="AZ111" i="60" s="1"/>
  <c r="AZ123" i="60"/>
  <c r="AX124" i="60" s="1"/>
  <c r="AZ112" i="60"/>
  <c r="AZ117" i="60" s="1"/>
  <c r="AZ122" i="60" s="1"/>
  <c r="AZ106" i="60"/>
  <c r="AZ108" i="60"/>
  <c r="AZ109" i="60" s="1"/>
  <c r="AY74" i="60"/>
  <c r="BC109" i="61" l="1"/>
  <c r="BC107" i="61"/>
  <c r="BB153" i="61"/>
  <c r="BB154" i="61" s="1"/>
  <c r="BC92" i="61"/>
  <c r="BC90" i="61"/>
  <c r="BC93" i="61"/>
  <c r="BC158" i="61" s="1"/>
  <c r="AY96" i="60"/>
  <c r="AY97" i="60" s="1"/>
  <c r="AY77" i="60"/>
  <c r="AY121" i="60"/>
  <c r="AZ69" i="60"/>
  <c r="AZ114" i="60"/>
  <c r="AZ120" i="60" l="1"/>
  <c r="AZ119" i="60"/>
  <c r="AZ84" i="60"/>
  <c r="AZ99" i="60"/>
  <c r="AZ100" i="60" s="1"/>
  <c r="BC111" i="61"/>
  <c r="BC136" i="61" s="1"/>
  <c r="BC138" i="61" s="1"/>
  <c r="BD110" i="61"/>
  <c r="BC95" i="61"/>
  <c r="BC99" i="61"/>
  <c r="BC100" i="61" s="1"/>
  <c r="BC80" i="61"/>
  <c r="BC79" i="61" s="1"/>
  <c r="BB157" i="61"/>
  <c r="AY134" i="60"/>
  <c r="AY140" i="60" s="1"/>
  <c r="AZ116" i="60"/>
  <c r="AZ71" i="60"/>
  <c r="AZ72" i="60"/>
  <c r="BD119" i="61" l="1"/>
  <c r="BD118" i="61"/>
  <c r="BD112" i="61"/>
  <c r="BD113" i="61"/>
  <c r="BD117" i="61" s="1"/>
  <c r="BD114" i="61"/>
  <c r="BD115" i="61" s="1"/>
  <c r="BD129" i="61"/>
  <c r="BC85" i="61"/>
  <c r="BC135" i="61" s="1"/>
  <c r="BC83" i="61"/>
  <c r="BC97" i="61"/>
  <c r="AY142" i="60"/>
  <c r="AY143" i="60"/>
  <c r="AY144" i="60" s="1"/>
  <c r="AY147" i="60" s="1"/>
  <c r="AY148" i="60" s="1"/>
  <c r="AY137" i="60"/>
  <c r="AY135" i="60"/>
  <c r="AY136" i="60" s="1"/>
  <c r="AY138" i="60" s="1"/>
  <c r="AY149" i="60"/>
  <c r="AZ103" i="60"/>
  <c r="AZ101" i="60"/>
  <c r="AZ87" i="60"/>
  <c r="AZ85" i="60"/>
  <c r="AZ88" i="60"/>
  <c r="AZ152" i="60" s="1"/>
  <c r="AZ126" i="60"/>
  <c r="BC82" i="61" l="1"/>
  <c r="BC140" i="61" s="1"/>
  <c r="BC146" i="61" s="1"/>
  <c r="BC148" i="61" s="1"/>
  <c r="BC127" i="61"/>
  <c r="BD120" i="61"/>
  <c r="BD123" i="61"/>
  <c r="BD128" i="61" s="1"/>
  <c r="BD74" i="61"/>
  <c r="BC101" i="61"/>
  <c r="BC102" i="61" s="1"/>
  <c r="BC98" i="61"/>
  <c r="AZ105" i="60"/>
  <c r="BA104" i="60"/>
  <c r="AZ90" i="60"/>
  <c r="AZ94" i="60"/>
  <c r="AZ95" i="60" s="1"/>
  <c r="AZ75" i="60"/>
  <c r="AZ74" i="60" s="1"/>
  <c r="AY151" i="60"/>
  <c r="BC141" i="61" l="1"/>
  <c r="BC142" i="61" s="1"/>
  <c r="BC144" i="61" s="1"/>
  <c r="BD122" i="61"/>
  <c r="BD126" i="61"/>
  <c r="BD125" i="61"/>
  <c r="BD132" i="61" s="1"/>
  <c r="BC143" i="61"/>
  <c r="BC149" i="61"/>
  <c r="BC150" i="61" s="1"/>
  <c r="BC155" i="61"/>
  <c r="BD89" i="61"/>
  <c r="BD76" i="61"/>
  <c r="BD77" i="61"/>
  <c r="BD105" i="61"/>
  <c r="BD106" i="61" s="1"/>
  <c r="AZ130" i="60"/>
  <c r="AZ132" i="60" s="1"/>
  <c r="BA123" i="60"/>
  <c r="AY124" i="60" s="1"/>
  <c r="BA112" i="60"/>
  <c r="BA117" i="60" s="1"/>
  <c r="BA122" i="60" s="1"/>
  <c r="BA108" i="60"/>
  <c r="BA109" i="60" s="1"/>
  <c r="BA106" i="60"/>
  <c r="BA113" i="60"/>
  <c r="BA107" i="60"/>
  <c r="BA111" i="60" s="1"/>
  <c r="AZ80" i="60"/>
  <c r="AZ129" i="60" s="1"/>
  <c r="AZ78" i="60"/>
  <c r="AZ92" i="60"/>
  <c r="AZ93" i="60" s="1"/>
  <c r="BD109" i="61" l="1"/>
  <c r="BD107" i="61"/>
  <c r="BD90" i="61"/>
  <c r="BD93" i="61"/>
  <c r="BD158" i="61" s="1"/>
  <c r="BD92" i="61"/>
  <c r="BC153" i="61"/>
  <c r="AZ77" i="60"/>
  <c r="AZ121" i="60"/>
  <c r="BA114" i="60"/>
  <c r="BA69" i="60"/>
  <c r="AZ96" i="60"/>
  <c r="AZ97" i="60" s="1"/>
  <c r="BA120" i="60" l="1"/>
  <c r="BA119" i="60"/>
  <c r="BA84" i="60"/>
  <c r="BA99" i="60"/>
  <c r="BA100" i="60" s="1"/>
  <c r="BC157" i="61"/>
  <c r="BC154" i="61"/>
  <c r="BD95" i="61"/>
  <c r="BD99" i="61"/>
  <c r="BD100" i="61" s="1"/>
  <c r="BD80" i="61"/>
  <c r="BD79" i="61" s="1"/>
  <c r="BD111" i="61"/>
  <c r="BD136" i="61" s="1"/>
  <c r="BD138" i="61" s="1"/>
  <c r="BE110" i="61"/>
  <c r="AZ134" i="60"/>
  <c r="AZ140" i="60" s="1"/>
  <c r="BA72" i="60"/>
  <c r="BA71" i="60"/>
  <c r="BA116" i="60"/>
  <c r="BE129" i="61" l="1"/>
  <c r="BE119" i="61"/>
  <c r="BE114" i="61"/>
  <c r="BE115" i="61" s="1"/>
  <c r="BE112" i="61"/>
  <c r="BE113" i="61"/>
  <c r="BE117" i="61" s="1"/>
  <c r="BE118" i="61"/>
  <c r="BD85" i="61"/>
  <c r="BD135" i="61" s="1"/>
  <c r="BD83" i="61"/>
  <c r="BD97" i="61"/>
  <c r="AZ149" i="60"/>
  <c r="AZ135" i="60"/>
  <c r="AZ136" i="60" s="1"/>
  <c r="AZ138" i="60" s="1"/>
  <c r="AZ142" i="60"/>
  <c r="AZ143" i="60"/>
  <c r="AZ144" i="60" s="1"/>
  <c r="AZ147" i="60" s="1"/>
  <c r="AZ148" i="60" s="1"/>
  <c r="AZ137" i="60"/>
  <c r="BA103" i="60"/>
  <c r="BA101" i="60"/>
  <c r="BA126" i="60"/>
  <c r="BA88" i="60"/>
  <c r="BA152" i="60" s="1"/>
  <c r="BA85" i="60"/>
  <c r="BA87" i="60"/>
  <c r="BD82" i="61" l="1"/>
  <c r="BD140" i="61" s="1"/>
  <c r="BD146" i="61" s="1"/>
  <c r="BD148" i="61" s="1"/>
  <c r="BD127" i="61"/>
  <c r="BE123" i="61"/>
  <c r="BE128" i="61" s="1"/>
  <c r="BE74" i="61"/>
  <c r="BE120" i="61"/>
  <c r="BD98" i="61"/>
  <c r="BD101" i="61"/>
  <c r="BD102" i="61" s="1"/>
  <c r="AZ151" i="60"/>
  <c r="BA105" i="60"/>
  <c r="BB104" i="60"/>
  <c r="BA90" i="60"/>
  <c r="BA94" i="60"/>
  <c r="BA95" i="60" s="1"/>
  <c r="BA75" i="60"/>
  <c r="BA74" i="60" s="1"/>
  <c r="BD149" i="61" l="1"/>
  <c r="BD150" i="61" s="1"/>
  <c r="BE125" i="61"/>
  <c r="BE132" i="61" s="1"/>
  <c r="BE122" i="61"/>
  <c r="BE126" i="61"/>
  <c r="BE89" i="61"/>
  <c r="BE76" i="61"/>
  <c r="BE77" i="61"/>
  <c r="BE105" i="61"/>
  <c r="BE106" i="61" s="1"/>
  <c r="BD153" i="61"/>
  <c r="BD143" i="61"/>
  <c r="BD141" i="61"/>
  <c r="BD142" i="61" s="1"/>
  <c r="BD144" i="61" s="1"/>
  <c r="BD155" i="61"/>
  <c r="BA130" i="60"/>
  <c r="BA132" i="60" s="1"/>
  <c r="BB123" i="60"/>
  <c r="AZ124" i="60" s="1"/>
  <c r="BB112" i="60"/>
  <c r="BB117" i="60" s="1"/>
  <c r="BB122" i="60" s="1"/>
  <c r="BB108" i="60"/>
  <c r="BB109" i="60" s="1"/>
  <c r="BB106" i="60"/>
  <c r="BB107" i="60"/>
  <c r="BB111" i="60" s="1"/>
  <c r="BB113" i="60"/>
  <c r="BA80" i="60"/>
  <c r="BA129" i="60" s="1"/>
  <c r="BA78" i="60"/>
  <c r="BA92" i="60"/>
  <c r="BA93" i="60" s="1"/>
  <c r="BE93" i="61" l="1"/>
  <c r="BE158" i="61" s="1"/>
  <c r="BE92" i="61"/>
  <c r="BE90" i="61"/>
  <c r="BD154" i="61"/>
  <c r="BD157" i="61"/>
  <c r="BE109" i="61"/>
  <c r="BE107" i="61"/>
  <c r="BB114" i="60"/>
  <c r="BB69" i="60"/>
  <c r="BA96" i="60"/>
  <c r="BA97" i="60" s="1"/>
  <c r="BA77" i="60"/>
  <c r="BA121" i="60"/>
  <c r="BB120" i="60" l="1"/>
  <c r="BB119" i="60"/>
  <c r="BB84" i="60"/>
  <c r="BB99" i="60"/>
  <c r="BB100" i="60" s="1"/>
  <c r="BE95" i="61"/>
  <c r="BE99" i="61"/>
  <c r="BE100" i="61" s="1"/>
  <c r="BE80" i="61"/>
  <c r="BE111" i="61"/>
  <c r="BE136" i="61" s="1"/>
  <c r="BE138" i="61" s="1"/>
  <c r="BF110" i="61"/>
  <c r="BA134" i="60"/>
  <c r="BA140" i="60" s="1"/>
  <c r="BB72" i="60"/>
  <c r="BB71" i="60"/>
  <c r="BB116" i="60"/>
  <c r="BE83" i="61" l="1"/>
  <c r="BE85" i="61"/>
  <c r="BE135" i="61" s="1"/>
  <c r="BE97" i="61"/>
  <c r="BF113" i="61"/>
  <c r="BF117" i="61" s="1"/>
  <c r="BF118" i="61"/>
  <c r="BF114" i="61"/>
  <c r="BF115" i="61" s="1"/>
  <c r="BF112" i="61"/>
  <c r="BF129" i="61"/>
  <c r="BF119" i="61"/>
  <c r="BE79" i="61"/>
  <c r="BA149" i="60"/>
  <c r="BA142" i="60"/>
  <c r="BA143" i="60"/>
  <c r="BA144" i="60" s="1"/>
  <c r="BA147" i="60" s="1"/>
  <c r="BA137" i="60"/>
  <c r="BA135" i="60"/>
  <c r="BA136" i="60" s="1"/>
  <c r="BA138" i="60" s="1"/>
  <c r="BB126" i="60"/>
  <c r="BB103" i="60"/>
  <c r="BB101" i="60"/>
  <c r="BB88" i="60"/>
  <c r="BB152" i="60" s="1"/>
  <c r="BB87" i="60"/>
  <c r="BB85" i="60"/>
  <c r="BE101" i="61" l="1"/>
  <c r="BE102" i="61" s="1"/>
  <c r="BE98" i="61"/>
  <c r="BF123" i="61"/>
  <c r="BF128" i="61" s="1"/>
  <c r="BF120" i="61"/>
  <c r="BF74" i="61"/>
  <c r="BE82" i="61"/>
  <c r="BE140" i="61" s="1"/>
  <c r="BE146" i="61" s="1"/>
  <c r="BE148" i="61" s="1"/>
  <c r="BE127" i="61"/>
  <c r="BB105" i="60"/>
  <c r="BC104" i="60"/>
  <c r="BB90" i="60"/>
  <c r="BB94" i="60"/>
  <c r="BB95" i="60" s="1"/>
  <c r="BB75" i="60"/>
  <c r="BA148" i="60"/>
  <c r="BA151" i="60"/>
  <c r="BE155" i="61" l="1"/>
  <c r="BE141" i="61"/>
  <c r="BE142" i="61" s="1"/>
  <c r="BE144" i="61" s="1"/>
  <c r="BF89" i="61"/>
  <c r="BF77" i="61"/>
  <c r="BF76" i="61"/>
  <c r="BF105" i="61"/>
  <c r="BF106" i="61" s="1"/>
  <c r="BE143" i="61"/>
  <c r="BF126" i="61"/>
  <c r="BF125" i="61"/>
  <c r="BF132" i="61" s="1"/>
  <c r="BF122" i="61"/>
  <c r="BE149" i="61"/>
  <c r="BE150" i="61" s="1"/>
  <c r="BB130" i="60"/>
  <c r="BB132" i="60" s="1"/>
  <c r="BB80" i="60"/>
  <c r="BB129" i="60" s="1"/>
  <c r="BB78" i="60"/>
  <c r="BB92" i="60"/>
  <c r="BB93" i="60" s="1"/>
  <c r="BC113" i="60"/>
  <c r="BC112" i="60"/>
  <c r="BC117" i="60" s="1"/>
  <c r="BC122" i="60" s="1"/>
  <c r="BC107" i="60"/>
  <c r="BC111" i="60" s="1"/>
  <c r="BC106" i="60"/>
  <c r="BC123" i="60"/>
  <c r="BA124" i="60" s="1"/>
  <c r="BC108" i="60"/>
  <c r="BC109" i="60" s="1"/>
  <c r="BB74" i="60"/>
  <c r="BF93" i="61" l="1"/>
  <c r="BF158" i="61" s="1"/>
  <c r="BF92" i="61"/>
  <c r="BF90" i="61"/>
  <c r="BE153" i="61"/>
  <c r="BE154" i="61" s="1"/>
  <c r="BF109" i="61"/>
  <c r="BF107" i="61"/>
  <c r="BB77" i="60"/>
  <c r="BB121" i="60"/>
  <c r="BB96" i="60"/>
  <c r="BB97" i="60" s="1"/>
  <c r="BC69" i="60"/>
  <c r="BC114" i="60"/>
  <c r="BC120" i="60" l="1"/>
  <c r="BC119" i="60"/>
  <c r="BC84" i="60"/>
  <c r="BC99" i="60"/>
  <c r="BC100" i="60" s="1"/>
  <c r="BF111" i="61"/>
  <c r="BF136" i="61" s="1"/>
  <c r="BF138" i="61" s="1"/>
  <c r="BG110" i="61"/>
  <c r="BF95" i="61"/>
  <c r="BF99" i="61"/>
  <c r="BF100" i="61" s="1"/>
  <c r="BF80" i="61"/>
  <c r="BF79" i="61" s="1"/>
  <c r="BE157" i="61"/>
  <c r="BB134" i="60"/>
  <c r="BB140" i="60" s="1"/>
  <c r="BB142" i="60" s="1"/>
  <c r="BC116" i="60"/>
  <c r="BC71" i="60"/>
  <c r="BC72" i="60"/>
  <c r="BF85" i="61" l="1"/>
  <c r="BF135" i="61" s="1"/>
  <c r="BF83" i="61"/>
  <c r="BF97" i="61"/>
  <c r="BG118" i="61"/>
  <c r="BG113" i="61"/>
  <c r="BG117" i="61" s="1"/>
  <c r="BG114" i="61"/>
  <c r="BG115" i="61" s="1"/>
  <c r="BG112" i="61"/>
  <c r="BG129" i="61"/>
  <c r="BG119" i="61"/>
  <c r="BB149" i="60"/>
  <c r="BB135" i="60"/>
  <c r="BB136" i="60" s="1"/>
  <c r="BB138" i="60" s="1"/>
  <c r="BB137" i="60"/>
  <c r="BB143" i="60"/>
  <c r="BB144" i="60" s="1"/>
  <c r="BB147" i="60" s="1"/>
  <c r="BB148" i="60" s="1"/>
  <c r="BC103" i="60"/>
  <c r="BC101" i="60"/>
  <c r="BC85" i="60"/>
  <c r="BC88" i="60"/>
  <c r="BC152" i="60" s="1"/>
  <c r="BC87" i="60"/>
  <c r="BC126" i="60"/>
  <c r="BG123" i="61" l="1"/>
  <c r="BG128" i="61" s="1"/>
  <c r="BG120" i="61"/>
  <c r="BG74" i="61"/>
  <c r="BF101" i="61"/>
  <c r="BF102" i="61" s="1"/>
  <c r="BF98" i="61"/>
  <c r="BF82" i="61"/>
  <c r="BF140" i="61" s="1"/>
  <c r="BF146" i="61" s="1"/>
  <c r="BF148" i="61" s="1"/>
  <c r="BF127" i="61"/>
  <c r="BB151" i="60"/>
  <c r="BC90" i="60"/>
  <c r="BC94" i="60"/>
  <c r="BC95" i="60" s="1"/>
  <c r="BC75" i="60"/>
  <c r="BC105" i="60"/>
  <c r="BD104" i="60"/>
  <c r="BF149" i="61" l="1"/>
  <c r="BF150" i="61" s="1"/>
  <c r="BG77" i="61"/>
  <c r="BG76" i="61"/>
  <c r="BG89" i="61"/>
  <c r="BG105" i="61"/>
  <c r="BG106" i="61" s="1"/>
  <c r="BG126" i="61"/>
  <c r="BG125" i="61"/>
  <c r="BG132" i="61" s="1"/>
  <c r="BG122" i="61"/>
  <c r="BF141" i="61"/>
  <c r="BF142" i="61" s="1"/>
  <c r="BF144" i="61" s="1"/>
  <c r="BF143" i="61"/>
  <c r="BF155" i="61"/>
  <c r="BC130" i="60"/>
  <c r="BC132" i="60" s="1"/>
  <c r="BC78" i="60"/>
  <c r="BC80" i="60"/>
  <c r="BC129" i="60" s="1"/>
  <c r="BC92" i="60"/>
  <c r="BC93" i="60" s="1"/>
  <c r="BC74" i="60"/>
  <c r="BD113" i="60"/>
  <c r="BD107" i="60"/>
  <c r="BD111" i="60" s="1"/>
  <c r="BD123" i="60"/>
  <c r="BB124" i="60" s="1"/>
  <c r="BD108" i="60"/>
  <c r="BD109" i="60" s="1"/>
  <c r="BD112" i="60"/>
  <c r="BD117" i="60" s="1"/>
  <c r="BD122" i="60" s="1"/>
  <c r="BD106" i="60"/>
  <c r="BG92" i="61" l="1"/>
  <c r="BG90" i="61"/>
  <c r="BG93" i="61"/>
  <c r="BG158" i="61" s="1"/>
  <c r="BF153" i="61"/>
  <c r="BF154" i="61" s="1"/>
  <c r="BG109" i="61"/>
  <c r="BG107" i="61"/>
  <c r="BC96" i="60"/>
  <c r="BC97" i="60" s="1"/>
  <c r="BD114" i="60"/>
  <c r="BD69" i="60"/>
  <c r="BC77" i="60"/>
  <c r="BC121" i="60"/>
  <c r="BD120" i="60" l="1"/>
  <c r="BD119" i="60"/>
  <c r="BD84" i="60"/>
  <c r="BD99" i="60"/>
  <c r="BD100" i="60" s="1"/>
  <c r="BG111" i="61"/>
  <c r="BG136" i="61" s="1"/>
  <c r="BG138" i="61" s="1"/>
  <c r="BH110" i="61"/>
  <c r="BG95" i="61"/>
  <c r="BG99" i="61"/>
  <c r="BG100" i="61" s="1"/>
  <c r="BG80" i="61"/>
  <c r="BG79" i="61" s="1"/>
  <c r="BF157" i="61"/>
  <c r="BC134" i="60"/>
  <c r="BC140" i="60" s="1"/>
  <c r="BD72" i="60"/>
  <c r="BD71" i="60"/>
  <c r="BD116" i="60"/>
  <c r="BH129" i="61" l="1"/>
  <c r="BH119" i="61"/>
  <c r="BH118" i="61"/>
  <c r="BH113" i="61"/>
  <c r="BH117" i="61" s="1"/>
  <c r="BH112" i="61"/>
  <c r="BH114" i="61"/>
  <c r="BH115" i="61" s="1"/>
  <c r="BG83" i="61"/>
  <c r="BG85" i="61"/>
  <c r="BG135" i="61" s="1"/>
  <c r="BG97" i="61"/>
  <c r="BC149" i="60"/>
  <c r="BC137" i="60"/>
  <c r="BC135" i="60"/>
  <c r="BC136" i="60" s="1"/>
  <c r="BC138" i="60" s="1"/>
  <c r="BC142" i="60"/>
  <c r="BC143" i="60"/>
  <c r="BC144" i="60" s="1"/>
  <c r="BC147" i="60" s="1"/>
  <c r="BD87" i="60"/>
  <c r="BD85" i="60"/>
  <c r="BD88" i="60"/>
  <c r="BD152" i="60" s="1"/>
  <c r="BD103" i="60"/>
  <c r="BD101" i="60"/>
  <c r="BD126" i="60"/>
  <c r="BG82" i="61" l="1"/>
  <c r="BG140" i="61" s="1"/>
  <c r="BG146" i="61" s="1"/>
  <c r="BG148" i="61" s="1"/>
  <c r="BG127" i="61"/>
  <c r="BH123" i="61"/>
  <c r="BH128" i="61" s="1"/>
  <c r="BH120" i="61"/>
  <c r="BH74" i="61"/>
  <c r="BG101" i="61"/>
  <c r="BG102" i="61" s="1"/>
  <c r="BG98" i="61"/>
  <c r="BC148" i="60"/>
  <c r="BC151" i="60"/>
  <c r="BD90" i="60"/>
  <c r="BD94" i="60"/>
  <c r="BD95" i="60" s="1"/>
  <c r="BD75" i="60"/>
  <c r="BD105" i="60"/>
  <c r="BE104" i="60"/>
  <c r="BG141" i="61" l="1"/>
  <c r="BG142" i="61" s="1"/>
  <c r="BG144" i="61" s="1"/>
  <c r="BG143" i="61"/>
  <c r="BH89" i="61"/>
  <c r="BH77" i="61"/>
  <c r="BH76" i="61"/>
  <c r="BH105" i="61"/>
  <c r="BH106" i="61" s="1"/>
  <c r="BG155" i="61"/>
  <c r="BG149" i="61"/>
  <c r="BG150" i="61" s="1"/>
  <c r="BH122" i="61"/>
  <c r="BH126" i="61"/>
  <c r="BH125" i="61"/>
  <c r="BH132" i="61" s="1"/>
  <c r="BD130" i="60"/>
  <c r="BD132" i="60" s="1"/>
  <c r="BE123" i="60"/>
  <c r="BC124" i="60" s="1"/>
  <c r="BE113" i="60"/>
  <c r="BE112" i="60"/>
  <c r="BE117" i="60" s="1"/>
  <c r="BE122" i="60" s="1"/>
  <c r="BE108" i="60"/>
  <c r="BE109" i="60" s="1"/>
  <c r="BE107" i="60"/>
  <c r="BE111" i="60" s="1"/>
  <c r="BE106" i="60"/>
  <c r="BD78" i="60"/>
  <c r="BD80" i="60"/>
  <c r="BD129" i="60" s="1"/>
  <c r="BD92" i="60"/>
  <c r="BD93" i="60" s="1"/>
  <c r="BD74" i="60"/>
  <c r="BG153" i="61" l="1"/>
  <c r="BH109" i="61"/>
  <c r="BH111" i="61" s="1"/>
  <c r="BH136" i="61" s="1"/>
  <c r="BH138" i="61" s="1"/>
  <c r="BH107" i="61"/>
  <c r="BH93" i="61"/>
  <c r="BH158" i="61" s="1"/>
  <c r="BH92" i="61"/>
  <c r="BH90" i="61"/>
  <c r="BD77" i="60"/>
  <c r="BD121" i="60"/>
  <c r="BE114" i="60"/>
  <c r="BE69" i="60"/>
  <c r="BD96" i="60"/>
  <c r="BD97" i="60" s="1"/>
  <c r="BE120" i="60" l="1"/>
  <c r="BE119" i="60"/>
  <c r="BE84" i="60"/>
  <c r="BE99" i="60"/>
  <c r="BE100" i="60" s="1"/>
  <c r="BH95" i="61"/>
  <c r="BH99" i="61"/>
  <c r="BH100" i="61" s="1"/>
  <c r="BH80" i="61"/>
  <c r="BG154" i="61"/>
  <c r="BG157" i="61"/>
  <c r="BD134" i="60"/>
  <c r="BD140" i="60" s="1"/>
  <c r="BE72" i="60"/>
  <c r="BE71" i="60"/>
  <c r="BE116" i="60"/>
  <c r="BH85" i="61" l="1"/>
  <c r="BH135" i="61" s="1"/>
  <c r="BH83" i="61"/>
  <c r="BH97" i="61"/>
  <c r="BH79" i="61"/>
  <c r="BD142" i="60"/>
  <c r="BD143" i="60"/>
  <c r="BD144" i="60" s="1"/>
  <c r="BD147" i="60" s="1"/>
  <c r="BD149" i="60"/>
  <c r="BD137" i="60"/>
  <c r="BD135" i="60"/>
  <c r="BD136" i="60" s="1"/>
  <c r="BD138" i="60" s="1"/>
  <c r="BE87" i="60"/>
  <c r="BE88" i="60"/>
  <c r="BE152" i="60" s="1"/>
  <c r="BE85" i="60"/>
  <c r="BE126" i="60"/>
  <c r="BE103" i="60"/>
  <c r="BE101" i="60"/>
  <c r="BH82" i="61" l="1"/>
  <c r="BH140" i="61" s="1"/>
  <c r="BH146" i="61" s="1"/>
  <c r="BH148" i="61" s="1"/>
  <c r="BH127" i="61"/>
  <c r="BH98" i="61"/>
  <c r="BH101" i="61"/>
  <c r="BH102" i="61" s="1"/>
  <c r="BE90" i="60"/>
  <c r="BE94" i="60"/>
  <c r="BE95" i="60" s="1"/>
  <c r="BE75" i="60"/>
  <c r="BE105" i="60"/>
  <c r="BF104" i="60"/>
  <c r="BD151" i="60"/>
  <c r="BD148" i="60"/>
  <c r="BH149" i="61" l="1"/>
  <c r="BH150" i="61" s="1"/>
  <c r="BH153" i="61" s="1"/>
  <c r="BH154" i="61" s="1"/>
  <c r="BH155" i="61"/>
  <c r="BH143" i="61"/>
  <c r="BH141" i="61"/>
  <c r="BH142" i="61" s="1"/>
  <c r="BH144" i="61" s="1"/>
  <c r="BE130" i="60"/>
  <c r="BE132" i="60" s="1"/>
  <c r="BE80" i="60"/>
  <c r="BE129" i="60" s="1"/>
  <c r="BE78" i="60"/>
  <c r="BE92" i="60"/>
  <c r="BE93" i="60" s="1"/>
  <c r="BE74" i="60"/>
  <c r="BF123" i="60"/>
  <c r="BD124" i="60" s="1"/>
  <c r="BF112" i="60"/>
  <c r="BF117" i="60" s="1"/>
  <c r="BF122" i="60" s="1"/>
  <c r="BF108" i="60"/>
  <c r="BF109" i="60" s="1"/>
  <c r="BF106" i="60"/>
  <c r="BF107" i="60"/>
  <c r="BF111" i="60" s="1"/>
  <c r="BF113" i="60"/>
  <c r="BH157" i="61" l="1"/>
  <c r="BE96" i="60"/>
  <c r="BE97" i="60" s="1"/>
  <c r="BF114" i="60"/>
  <c r="BF69" i="60"/>
  <c r="BE77" i="60"/>
  <c r="BE121" i="60"/>
  <c r="BF120" i="60" l="1"/>
  <c r="BF119" i="60"/>
  <c r="BF84" i="60"/>
  <c r="BF99" i="60"/>
  <c r="BF100" i="60" s="1"/>
  <c r="BE134" i="60"/>
  <c r="BE140" i="60" s="1"/>
  <c r="BF72" i="60"/>
  <c r="BF71" i="60"/>
  <c r="BF116" i="60"/>
  <c r="BE135" i="60" l="1"/>
  <c r="BE136" i="60" s="1"/>
  <c r="BE138" i="60" s="1"/>
  <c r="BE149" i="60"/>
  <c r="BE137" i="60"/>
  <c r="BE142" i="60"/>
  <c r="BE143" i="60"/>
  <c r="BE144" i="60" s="1"/>
  <c r="BE147" i="60" s="1"/>
  <c r="BE148" i="60" s="1"/>
  <c r="BF103" i="60"/>
  <c r="BF101" i="60"/>
  <c r="BF88" i="60"/>
  <c r="BF152" i="60" s="1"/>
  <c r="BF85" i="60"/>
  <c r="BF87" i="60"/>
  <c r="BF126" i="60"/>
  <c r="BE151" i="60" l="1"/>
  <c r="BF90" i="60"/>
  <c r="BF94" i="60"/>
  <c r="BF95" i="60" s="1"/>
  <c r="BF75" i="60"/>
  <c r="BF74" i="60" s="1"/>
  <c r="BF105" i="60"/>
  <c r="BG104" i="60"/>
  <c r="BF130" i="60" l="1"/>
  <c r="BF132" i="60" s="1"/>
  <c r="BG106" i="60"/>
  <c r="BG123" i="60"/>
  <c r="BE124" i="60" s="1"/>
  <c r="BG108" i="60"/>
  <c r="BG109" i="60" s="1"/>
  <c r="BG113" i="60"/>
  <c r="BG112" i="60"/>
  <c r="BG117" i="60" s="1"/>
  <c r="BG122" i="60" s="1"/>
  <c r="BG107" i="60"/>
  <c r="BG111" i="60" s="1"/>
  <c r="BF80" i="60"/>
  <c r="BF129" i="60" s="1"/>
  <c r="BF78" i="60"/>
  <c r="BF92" i="60"/>
  <c r="BF93" i="60" s="1"/>
  <c r="BF77" i="60" l="1"/>
  <c r="BF121" i="60"/>
  <c r="BF96" i="60"/>
  <c r="BF97" i="60" s="1"/>
  <c r="BG69" i="60"/>
  <c r="BG114" i="60"/>
  <c r="BG120" i="60" l="1"/>
  <c r="BG119" i="60"/>
  <c r="BG84" i="60"/>
  <c r="BG99" i="60"/>
  <c r="BG100" i="60" s="1"/>
  <c r="BF134" i="60"/>
  <c r="BF140" i="60" s="1"/>
  <c r="BG71" i="60"/>
  <c r="BG72" i="60"/>
  <c r="BG116" i="60"/>
  <c r="BF137" i="60" l="1"/>
  <c r="BF149" i="60"/>
  <c r="BF142" i="60"/>
  <c r="BF143" i="60"/>
  <c r="BF144" i="60" s="1"/>
  <c r="BF147" i="60" s="1"/>
  <c r="BF148" i="60" s="1"/>
  <c r="BF135" i="60"/>
  <c r="BF136" i="60" s="1"/>
  <c r="BF138" i="60" s="1"/>
  <c r="BG126" i="60"/>
  <c r="BG85" i="60"/>
  <c r="BG88" i="60"/>
  <c r="BG152" i="60" s="1"/>
  <c r="BG87" i="60"/>
  <c r="BG103" i="60"/>
  <c r="BG101" i="60"/>
  <c r="BF151" i="60" l="1"/>
  <c r="BG105" i="60"/>
  <c r="BH104" i="60"/>
  <c r="BG90" i="60"/>
  <c r="BG94" i="60"/>
  <c r="BG95" i="60" s="1"/>
  <c r="BG75" i="60"/>
  <c r="BG130" i="60" l="1"/>
  <c r="BG132" i="60" s="1"/>
  <c r="BH123" i="60"/>
  <c r="BF124" i="60" s="1"/>
  <c r="BH112" i="60"/>
  <c r="BH117" i="60" s="1"/>
  <c r="BH122" i="60" s="1"/>
  <c r="BH108" i="60"/>
  <c r="BH109" i="60" s="1"/>
  <c r="BH107" i="60"/>
  <c r="BH111" i="60" s="1"/>
  <c r="BH106" i="60"/>
  <c r="BH113" i="60"/>
  <c r="BG80" i="60"/>
  <c r="BG129" i="60" s="1"/>
  <c r="BG78" i="60"/>
  <c r="BG92" i="60"/>
  <c r="BG93" i="60" s="1"/>
  <c r="BG74" i="60"/>
  <c r="BH114" i="60" l="1"/>
  <c r="BH69" i="60"/>
  <c r="BG96" i="60"/>
  <c r="BG97" i="60" s="1"/>
  <c r="BG121" i="60"/>
  <c r="BG77" i="60"/>
  <c r="BH120" i="60" l="1"/>
  <c r="BH119" i="60"/>
  <c r="BH84" i="60"/>
  <c r="BH99" i="60"/>
  <c r="BH100" i="60" s="1"/>
  <c r="BG134" i="60"/>
  <c r="BG140" i="60" s="1"/>
  <c r="BH71" i="60"/>
  <c r="BH72" i="60"/>
  <c r="BH116" i="60"/>
  <c r="BG149" i="60" l="1"/>
  <c r="BG137" i="60"/>
  <c r="BG142" i="60"/>
  <c r="BG143" i="60"/>
  <c r="BG144" i="60" s="1"/>
  <c r="BG147" i="60" s="1"/>
  <c r="BG148" i="60" s="1"/>
  <c r="BG135" i="60"/>
  <c r="BG136" i="60" s="1"/>
  <c r="BG138" i="60" s="1"/>
  <c r="BH103" i="60"/>
  <c r="BH105" i="60" s="1"/>
  <c r="BH101" i="60"/>
  <c r="BH126" i="60"/>
  <c r="BH85" i="60"/>
  <c r="BH88" i="60"/>
  <c r="BH152" i="60" s="1"/>
  <c r="BH87" i="60"/>
  <c r="BH130" i="60" l="1"/>
  <c r="BH132" i="60" s="1"/>
  <c r="BG151" i="60"/>
  <c r="BH90" i="60"/>
  <c r="BH94" i="60"/>
  <c r="BH95" i="60" s="1"/>
  <c r="BH75" i="60"/>
  <c r="BH74" i="60" s="1"/>
  <c r="BH80" i="60" l="1"/>
  <c r="BH78" i="60"/>
  <c r="BH92" i="60"/>
  <c r="BH93" i="60" s="1"/>
  <c r="BH77" i="60" l="1"/>
  <c r="BH121" i="60"/>
  <c r="BH96" i="60"/>
  <c r="BH97" i="60" s="1"/>
  <c r="BH134" i="60" l="1"/>
  <c r="BH140" i="60" s="1"/>
  <c r="BH129" i="60"/>
  <c r="BH149" i="60" l="1"/>
  <c r="BH137" i="60"/>
  <c r="BH135" i="60"/>
  <c r="BH136" i="60" s="1"/>
  <c r="BH138" i="60" s="1"/>
  <c r="BH143" i="60"/>
  <c r="BH144" i="60" s="1"/>
  <c r="BH147" i="60" s="1"/>
  <c r="BH148" i="60" s="1"/>
  <c r="BH142" i="60"/>
  <c r="BH151" i="60" l="1"/>
  <c r="BH156" i="60" s="1"/>
</calcChain>
</file>

<file path=xl/sharedStrings.xml><?xml version="1.0" encoding="utf-8"?>
<sst xmlns="http://schemas.openxmlformats.org/spreadsheetml/2006/main" count="2070" uniqueCount="842">
  <si>
    <t>Description</t>
  </si>
  <si>
    <t>Blend Ratio (groundwater/distilled water)</t>
  </si>
  <si>
    <t>Year</t>
  </si>
  <si>
    <t>Management Team</t>
  </si>
  <si>
    <t>Management Expenses</t>
  </si>
  <si>
    <t>Engineering Team</t>
  </si>
  <si>
    <t>Engineering Support</t>
  </si>
  <si>
    <t>Subtotal</t>
  </si>
  <si>
    <t>Pecentage of Purified Salt sent to Vacuum Refining</t>
  </si>
  <si>
    <t>Metric Tons of Solar Salt Produced</t>
  </si>
  <si>
    <t>Salt Evaporation Ponds Capital Cost</t>
  </si>
  <si>
    <t>Salt Evaporation Ponds Operating Cost</t>
  </si>
  <si>
    <t>Annual Revenue from Solar Salt</t>
  </si>
  <si>
    <t>Number of Vacuum Salt Refining Plants in Design/Permitting</t>
  </si>
  <si>
    <t>Number of Vacuum Salt Refining Plants in Construction</t>
  </si>
  <si>
    <t>Number of Vacuum Salt Refining Plants in Operation</t>
  </si>
  <si>
    <t>Metric Tons of Vacuum Refined Salt Produced</t>
  </si>
  <si>
    <t>Vacuum Salt Refining Capital Cost</t>
  </si>
  <si>
    <t>Vacuum Salt Refining Operating Cost</t>
  </si>
  <si>
    <t>Annual Revenue from Vacuum Refined Salt</t>
  </si>
  <si>
    <t>Number of Groundwater Wellfields in Design/Permitting</t>
  </si>
  <si>
    <t>Number of Groundwater Wellfields in Construction</t>
  </si>
  <si>
    <t>Number of Groundwater Wellfields in Operation</t>
  </si>
  <si>
    <t>Groundwater Wellfields Capital Cost</t>
  </si>
  <si>
    <t>Groundwater Wellfields Operating Cost</t>
  </si>
  <si>
    <t>Acre-feet of Groundwater Water Produced</t>
  </si>
  <si>
    <t>Total Revenue</t>
  </si>
  <si>
    <t>Total Capital Costs</t>
  </si>
  <si>
    <t>Total Operating Costs</t>
  </si>
  <si>
    <t>Cumulative Net Revenue</t>
  </si>
  <si>
    <t>Capital Repayment</t>
  </si>
  <si>
    <t>Cumulative Capital Outlay</t>
  </si>
  <si>
    <t>Category</t>
  </si>
  <si>
    <t>Annual Salary</t>
  </si>
  <si>
    <t>Benefits</t>
  </si>
  <si>
    <t>Annual Cost</t>
  </si>
  <si>
    <t>CEO</t>
  </si>
  <si>
    <t>CFO</t>
  </si>
  <si>
    <t>CTO</t>
  </si>
  <si>
    <t>VP Business Development</t>
  </si>
  <si>
    <t>Office Manager</t>
  </si>
  <si>
    <t>Management Team Subtotal</t>
  </si>
  <si>
    <t>Outside Consulting Services</t>
  </si>
  <si>
    <t>CPA Services</t>
  </si>
  <si>
    <t>Office Rent</t>
  </si>
  <si>
    <t>Office Supplies</t>
  </si>
  <si>
    <t>Travel Expenses</t>
  </si>
  <si>
    <t>Promotional Materials</t>
  </si>
  <si>
    <t>Electrical Service</t>
  </si>
  <si>
    <t>Water/Sewer/Trash Service</t>
  </si>
  <si>
    <t>Phone and Internet Service</t>
  </si>
  <si>
    <t>Operating Expense Subtotal</t>
  </si>
  <si>
    <t>Civil Engineer</t>
  </si>
  <si>
    <t>Mechanical Engineer</t>
  </si>
  <si>
    <t>Chemical Engineer</t>
  </si>
  <si>
    <t>Electrical Engineer</t>
  </si>
  <si>
    <t>CAD Designer</t>
  </si>
  <si>
    <t>Permitting Specialist</t>
  </si>
  <si>
    <t>Budgeting Specialist</t>
  </si>
  <si>
    <t>Engineering Team Subtotal</t>
  </si>
  <si>
    <t>Computer Systems</t>
  </si>
  <si>
    <t>Engineering/CAD Software</t>
  </si>
  <si>
    <t>Engineering Team Expenses</t>
  </si>
  <si>
    <t>Number of Salt Refineries</t>
  </si>
  <si>
    <t>Steam Press</t>
  </si>
  <si>
    <t>VTE Plant Steam Requirement</t>
  </si>
  <si>
    <t>psig</t>
  </si>
  <si>
    <t>lb/hr</t>
  </si>
  <si>
    <t>kWh</t>
  </si>
  <si>
    <t>$/kWh</t>
  </si>
  <si>
    <t>1,000 lb/hr</t>
  </si>
  <si>
    <t>$/year/5MGD</t>
  </si>
  <si>
    <t>Btu/lb</t>
  </si>
  <si>
    <t>Btu/kcal</t>
  </si>
  <si>
    <t>Btu/hr</t>
  </si>
  <si>
    <r>
      <t>kWh</t>
    </r>
    <r>
      <rPr>
        <vertAlign val="subscript"/>
        <sz val="10"/>
        <rFont val="Arial"/>
        <family val="2"/>
      </rPr>
      <t>t</t>
    </r>
  </si>
  <si>
    <r>
      <t>h</t>
    </r>
    <r>
      <rPr>
        <vertAlign val="subscript"/>
        <sz val="10"/>
        <rFont val="Arial"/>
        <family val="2"/>
      </rPr>
      <t>g</t>
    </r>
  </si>
  <si>
    <r>
      <t>h</t>
    </r>
    <r>
      <rPr>
        <vertAlign val="subscript"/>
        <sz val="10"/>
        <rFont val="Arial"/>
        <family val="2"/>
      </rPr>
      <t>fg</t>
    </r>
  </si>
  <si>
    <t>Salt Plant Thermal Requirement</t>
  </si>
  <si>
    <t>Salt Plant Steam Requirement</t>
  </si>
  <si>
    <t>kcal/hr</t>
  </si>
  <si>
    <t>$/year/250 tonne/day</t>
  </si>
  <si>
    <t>$/lb/hr</t>
  </si>
  <si>
    <t>Thermal Energy Cost</t>
  </si>
  <si>
    <t>Conversion</t>
  </si>
  <si>
    <t>$/1,000 lb/hr</t>
  </si>
  <si>
    <r>
      <t>Btu/hr/kW</t>
    </r>
    <r>
      <rPr>
        <vertAlign val="subscript"/>
        <sz val="10"/>
        <rFont val="Arial"/>
        <family val="2"/>
      </rPr>
      <t>t</t>
    </r>
  </si>
  <si>
    <t>$/Btu/hr</t>
  </si>
  <si>
    <r>
      <t>$/kWh</t>
    </r>
    <r>
      <rPr>
        <vertAlign val="subscript"/>
        <sz val="10"/>
        <rFont val="Arial"/>
        <family val="2"/>
      </rPr>
      <t>t</t>
    </r>
  </si>
  <si>
    <t>Black Rock Steam</t>
  </si>
  <si>
    <t>Press. (psig)</t>
  </si>
  <si>
    <t>Press. (psia)</t>
  </si>
  <si>
    <r>
      <t>Temp. (</t>
    </r>
    <r>
      <rPr>
        <sz val="11"/>
        <color indexed="8"/>
        <rFont val="Times New Roman"/>
        <family val="1"/>
      </rPr>
      <t>°</t>
    </r>
    <r>
      <rPr>
        <sz val="11"/>
        <color indexed="8"/>
        <rFont val="Calibri"/>
        <family val="2"/>
      </rPr>
      <t>F)</t>
    </r>
  </si>
  <si>
    <r>
      <t>H</t>
    </r>
    <r>
      <rPr>
        <vertAlign val="subscript"/>
        <sz val="11"/>
        <color indexed="8"/>
        <rFont val="Calibri"/>
        <family val="2"/>
      </rPr>
      <t xml:space="preserve">fg </t>
    </r>
    <r>
      <rPr>
        <sz val="10"/>
        <rFont val="Arial"/>
        <family val="2"/>
      </rPr>
      <t>(Btu/lb)</t>
    </r>
  </si>
  <si>
    <r>
      <t>H</t>
    </r>
    <r>
      <rPr>
        <vertAlign val="subscript"/>
        <sz val="11"/>
        <color indexed="8"/>
        <rFont val="Calibri"/>
        <family val="2"/>
      </rPr>
      <t xml:space="preserve">f </t>
    </r>
    <r>
      <rPr>
        <sz val="10"/>
        <rFont val="Arial"/>
        <family val="2"/>
      </rPr>
      <t>(Btu/lb)</t>
    </r>
  </si>
  <si>
    <r>
      <t>H</t>
    </r>
    <r>
      <rPr>
        <vertAlign val="subscript"/>
        <sz val="11"/>
        <color indexed="8"/>
        <rFont val="Calibri"/>
        <family val="2"/>
      </rPr>
      <t xml:space="preserve">g </t>
    </r>
    <r>
      <rPr>
        <sz val="10"/>
        <rFont val="Arial"/>
        <family val="2"/>
      </rPr>
      <t>(Btu/lb)</t>
    </r>
  </si>
  <si>
    <t>HP Steam Flash</t>
  </si>
  <si>
    <t>SP Steam Flash</t>
  </si>
  <si>
    <r>
      <t>VTE Steam Delivery 251</t>
    </r>
    <r>
      <rPr>
        <sz val="10"/>
        <rFont val="Times New Roman"/>
        <family val="1"/>
      </rPr>
      <t>°</t>
    </r>
    <r>
      <rPr>
        <sz val="11"/>
        <rFont val="Arial"/>
        <family val="2"/>
      </rPr>
      <t>F</t>
    </r>
  </si>
  <si>
    <r>
      <t>VTE Steam Delivery 233</t>
    </r>
    <r>
      <rPr>
        <sz val="10"/>
        <rFont val="Times New Roman"/>
        <family val="1"/>
      </rPr>
      <t>°</t>
    </r>
    <r>
      <rPr>
        <sz val="11"/>
        <rFont val="Arial"/>
        <family val="2"/>
      </rPr>
      <t>F</t>
    </r>
  </si>
  <si>
    <r>
      <t>VTE Steam Delivery 212</t>
    </r>
    <r>
      <rPr>
        <sz val="10"/>
        <rFont val="Times New Roman"/>
        <family val="1"/>
      </rPr>
      <t>°</t>
    </r>
    <r>
      <rPr>
        <sz val="11"/>
        <rFont val="Arial"/>
        <family val="2"/>
      </rPr>
      <t>F</t>
    </r>
  </si>
  <si>
    <t>Quoted Steam Cost</t>
  </si>
  <si>
    <r>
      <t>kW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/Btu/hr</t>
    </r>
  </si>
  <si>
    <t>Quoted Power Cost</t>
  </si>
  <si>
    <r>
      <t>$/kWh</t>
    </r>
    <r>
      <rPr>
        <vertAlign val="subscript"/>
        <sz val="10"/>
        <rFont val="Arial"/>
        <family val="2"/>
      </rPr>
      <t>e</t>
    </r>
  </si>
  <si>
    <t>per cubic meter</t>
  </si>
  <si>
    <t>Cost</t>
  </si>
  <si>
    <t>Unit</t>
  </si>
  <si>
    <t>Salt Refinery total capital cost</t>
  </si>
  <si>
    <t>Vacuum Crystallizing Plant</t>
  </si>
  <si>
    <t>each plant</t>
  </si>
  <si>
    <t>Amortizaton period</t>
  </si>
  <si>
    <t>years</t>
  </si>
  <si>
    <t>Interest rate</t>
  </si>
  <si>
    <t>per year</t>
  </si>
  <si>
    <t>Plant life capital cost</t>
  </si>
  <si>
    <t>Annualized capital cost</t>
  </si>
  <si>
    <t>Dewatering Centrifuge</t>
  </si>
  <si>
    <t>each unit</t>
  </si>
  <si>
    <t>Pusher Centrifuge</t>
  </si>
  <si>
    <t>Unit life capital cost</t>
  </si>
  <si>
    <t>Drying, Sorting, Packing Plant</t>
  </si>
  <si>
    <t>Salt Capacity</t>
  </si>
  <si>
    <t>tonne/day</t>
  </si>
  <si>
    <t>Input salt concentration</t>
  </si>
  <si>
    <t>Crystallizing Plant Capacity</t>
  </si>
  <si>
    <t>Crystallizing Plant Slurry Density</t>
  </si>
  <si>
    <t>Brine Slurry Capacity</t>
  </si>
  <si>
    <t>gpd</t>
  </si>
  <si>
    <t>Water Recovery ratio</t>
  </si>
  <si>
    <t>Plant availability</t>
  </si>
  <si>
    <t>Plant spec cost</t>
  </si>
  <si>
    <t>$/tonne/day</t>
  </si>
  <si>
    <t>Plant Operating Costs</t>
  </si>
  <si>
    <t>Vacuum Crystallizing Plant parts</t>
  </si>
  <si>
    <t>Dewatering Centrifuge parts</t>
  </si>
  <si>
    <t>Drying, Sorting, Packing parts</t>
  </si>
  <si>
    <t>Replacements &amp; Supplies</t>
  </si>
  <si>
    <t>Manpower</t>
  </si>
  <si>
    <t>Operating Supplies</t>
  </si>
  <si>
    <t>Annual O&amp;M Cost</t>
  </si>
  <si>
    <t>Plant Energy Costs</t>
  </si>
  <si>
    <t>Evaporator Thermal Requirement</t>
  </si>
  <si>
    <r>
      <t>kWh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/day</t>
    </r>
  </si>
  <si>
    <t>Drying Thermal Requirement</t>
  </si>
  <si>
    <t>Thermal Rate</t>
  </si>
  <si>
    <t>Thermal Cost</t>
  </si>
  <si>
    <t>VTE electrical requirement</t>
  </si>
  <si>
    <r>
      <t>kWh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/day</t>
    </r>
  </si>
  <si>
    <t>Centrifuge electrical requirement</t>
  </si>
  <si>
    <t>Dry/Sort electrical requirement</t>
  </si>
  <si>
    <t>Electrical rate</t>
  </si>
  <si>
    <r>
      <t>per kWh</t>
    </r>
    <r>
      <rPr>
        <vertAlign val="subscript"/>
        <sz val="10"/>
        <rFont val="Arial"/>
        <family val="2"/>
      </rPr>
      <t>e</t>
    </r>
  </si>
  <si>
    <t>Electrical cost</t>
  </si>
  <si>
    <t>Annual Energy Cost</t>
  </si>
  <si>
    <t>Annualized Plant Cost</t>
  </si>
  <si>
    <t>Salt cost (refinery only)</t>
  </si>
  <si>
    <t>per tonne</t>
  </si>
  <si>
    <t>Net</t>
  </si>
  <si>
    <t>Refinery Annual Ouput</t>
  </si>
  <si>
    <t>Metric tons</t>
  </si>
  <si>
    <t>Refinery Annual net</t>
  </si>
  <si>
    <t>Total Salt Supply to All Plants</t>
  </si>
  <si>
    <t>Electrical Use per Tonne</t>
  </si>
  <si>
    <r>
      <t>kWh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/tonne</t>
    </r>
  </si>
  <si>
    <t>Thermal Use per Tonne</t>
  </si>
  <si>
    <r>
      <t>kWh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/tonne</t>
    </r>
  </si>
  <si>
    <t>Salt Separation Plant</t>
  </si>
  <si>
    <t>Cost to Feed 5 MGD VTE</t>
  </si>
  <si>
    <t>Plant capital cost</t>
  </si>
  <si>
    <t>each</t>
  </si>
  <si>
    <t>Permeate capacity</t>
  </si>
  <si>
    <t>Feed Capacity</t>
  </si>
  <si>
    <t>Recovery ratio</t>
  </si>
  <si>
    <t>$/gpd</t>
  </si>
  <si>
    <t>Chemicals</t>
  </si>
  <si>
    <t>UF Membranes 20% rep</t>
  </si>
  <si>
    <t>NF Membranes 25% rep</t>
  </si>
  <si>
    <t>Cartridge Filters</t>
  </si>
  <si>
    <t>Cleaning Chemicals</t>
  </si>
  <si>
    <t>Maintenance Supplies</t>
  </si>
  <si>
    <t>Electrical requirement</t>
  </si>
  <si>
    <t>kWh/day</t>
  </si>
  <si>
    <t>per kWh</t>
  </si>
  <si>
    <t>Permeate cost</t>
  </si>
  <si>
    <t>per 1,000 gal</t>
  </si>
  <si>
    <t>per acre-ft</t>
  </si>
  <si>
    <t>NaCl in Permeate</t>
  </si>
  <si>
    <t>mg/liter</t>
  </si>
  <si>
    <t>Annual Permeate Output</t>
  </si>
  <si>
    <t>AFY</t>
  </si>
  <si>
    <t>Annual NaCl output</t>
  </si>
  <si>
    <t>Metric Tons</t>
  </si>
  <si>
    <t>NaCl Cost in Brine</t>
  </si>
  <si>
    <t>per metric ton</t>
  </si>
  <si>
    <t>Annual Reject Output</t>
  </si>
  <si>
    <t>Electrical Use per MG</t>
  </si>
  <si>
    <t>kWh/MG</t>
  </si>
  <si>
    <t>Distillate capacity</t>
  </si>
  <si>
    <t>Concentration factor</t>
  </si>
  <si>
    <t>Brine Capacity</t>
  </si>
  <si>
    <t>Operation &amp; maintenance</t>
  </si>
  <si>
    <t>MW</t>
  </si>
  <si>
    <t>Thermal requirement</t>
  </si>
  <si>
    <t>lbs/hr</t>
  </si>
  <si>
    <t>Thermal rate</t>
  </si>
  <si>
    <t>per lb/hr</t>
  </si>
  <si>
    <t>Thermal cost</t>
  </si>
  <si>
    <t>Distillate cost</t>
  </si>
  <si>
    <t>Annual Distillate Output</t>
  </si>
  <si>
    <t>Deaerator</t>
  </si>
  <si>
    <t>Foundation</t>
  </si>
  <si>
    <t>Excavation</t>
  </si>
  <si>
    <t>Chemical feed system</t>
  </si>
  <si>
    <t>Pumps and Motors</t>
  </si>
  <si>
    <t>Steam ejector system</t>
  </si>
  <si>
    <t>Piping and valves</t>
  </si>
  <si>
    <t>Electrical gear &amp; cables</t>
  </si>
  <si>
    <t>Instrumentation</t>
  </si>
  <si>
    <t>Computer control sytem</t>
  </si>
  <si>
    <t>Misc. bolts, nuts, gaskets</t>
  </si>
  <si>
    <t>Subtotal Construction Equipment &amp; Materials</t>
  </si>
  <si>
    <t>Freight in (1.5% of materials)</t>
  </si>
  <si>
    <t>Insurance (0.5% of materials)</t>
  </si>
  <si>
    <t>Mobilization</t>
  </si>
  <si>
    <t>Installation &amp; site fabrication</t>
  </si>
  <si>
    <t>Subtotal Construction Contract</t>
  </si>
  <si>
    <t>Contractor markup (15% of above)</t>
  </si>
  <si>
    <t>Total Construction Contract</t>
  </si>
  <si>
    <t>Materials inspection (1.5% of materials)</t>
  </si>
  <si>
    <t>Construction management (5% of contract)</t>
  </si>
  <si>
    <t>Total Plant Costs</t>
  </si>
  <si>
    <t>Interest during construction (8% of total)</t>
  </si>
  <si>
    <t>Contingencies (10% of total)</t>
  </si>
  <si>
    <t>Total Plant Construction Project</t>
  </si>
  <si>
    <t>Amount 1</t>
  </si>
  <si>
    <t>Amount 2</t>
  </si>
  <si>
    <t>Total Amount</t>
  </si>
  <si>
    <t>Unit Cost</t>
  </si>
  <si>
    <t>Demister Screens 316 SS</t>
  </si>
  <si>
    <r>
      <t>ft</t>
    </r>
    <r>
      <rPr>
        <sz val="10"/>
        <rFont val="Arial"/>
        <family val="2"/>
        <charset val="1"/>
      </rPr>
      <t>²</t>
    </r>
  </si>
  <si>
    <t>inch</t>
  </si>
  <si>
    <r>
      <t>ft</t>
    </r>
    <r>
      <rPr>
        <sz val="10"/>
        <rFont val="Arial"/>
        <family val="2"/>
        <charset val="1"/>
      </rPr>
      <t>³</t>
    </r>
  </si>
  <si>
    <r>
      <t>yd</t>
    </r>
    <r>
      <rPr>
        <sz val="10"/>
        <rFont val="Arial"/>
        <family val="2"/>
        <charset val="1"/>
      </rPr>
      <t>³</t>
    </r>
  </si>
  <si>
    <t>Pump</t>
  </si>
  <si>
    <t>Quantity</t>
  </si>
  <si>
    <t>Flow Rate</t>
  </si>
  <si>
    <t>Head</t>
  </si>
  <si>
    <t>SG</t>
  </si>
  <si>
    <t>Eff</t>
  </si>
  <si>
    <t>HP</t>
  </si>
  <si>
    <t>Total HP</t>
  </si>
  <si>
    <t>(gpm)</t>
  </si>
  <si>
    <t>(ft)</t>
  </si>
  <si>
    <t>Brine Recycle</t>
  </si>
  <si>
    <t>Feed (DA)</t>
  </si>
  <si>
    <t>Distillate</t>
  </si>
  <si>
    <t>Brine Blowdown</t>
  </si>
  <si>
    <t>Condensate</t>
  </si>
  <si>
    <t>Seawater In</t>
  </si>
  <si>
    <t>Coolant</t>
  </si>
  <si>
    <t>Total KW</t>
  </si>
  <si>
    <t>Material for all</t>
  </si>
  <si>
    <t>Ni Resist</t>
  </si>
  <si>
    <t>Impeller</t>
  </si>
  <si>
    <t>316L SS</t>
  </si>
  <si>
    <t>Seals</t>
  </si>
  <si>
    <t>Mechanical</t>
  </si>
  <si>
    <t>Frequency</t>
  </si>
  <si>
    <t>60 Hz</t>
  </si>
  <si>
    <t>Pump base</t>
  </si>
  <si>
    <t>common</t>
  </si>
  <si>
    <t>Evaporator Components</t>
  </si>
  <si>
    <t>Material</t>
  </si>
  <si>
    <r>
      <t>(ft</t>
    </r>
    <r>
      <rPr>
        <b/>
        <sz val="10"/>
        <rFont val="Arial"/>
        <family val="2"/>
        <charset val="1"/>
      </rPr>
      <t>³)</t>
    </r>
  </si>
  <si>
    <t>(tons)</t>
  </si>
  <si>
    <t>Lower and Upper Deck</t>
  </si>
  <si>
    <t>A285 grade C</t>
  </si>
  <si>
    <t>A516 grade 70</t>
  </si>
  <si>
    <t>ton</t>
  </si>
  <si>
    <t>Sidewalls</t>
  </si>
  <si>
    <t>Endwalls</t>
  </si>
  <si>
    <t>Endwall Chamfer</t>
  </si>
  <si>
    <t>Lower and Upper Deck Lining</t>
  </si>
  <si>
    <t>Sidewalls Lining</t>
  </si>
  <si>
    <t>Endwall lining</t>
  </si>
  <si>
    <t>Endwall Chamfer Lining</t>
  </si>
  <si>
    <t>Effect Cylinder</t>
  </si>
  <si>
    <t>Effect Cylinder Cover</t>
  </si>
  <si>
    <t>Effect Bottom Cone</t>
  </si>
  <si>
    <t>Tubesheet</t>
  </si>
  <si>
    <t>Tubes</t>
  </si>
  <si>
    <t>3"</t>
  </si>
  <si>
    <t>Aluminum</t>
  </si>
  <si>
    <t>Demister</t>
  </si>
  <si>
    <t>Mesh</t>
  </si>
  <si>
    <t>Beams, Lower and Upper Deck</t>
  </si>
  <si>
    <t>Carbon Steel</t>
  </si>
  <si>
    <t>W10x45# WF</t>
  </si>
  <si>
    <t>Tube Bundle Shop Fabrication</t>
  </si>
  <si>
    <t>90/10 CuNi</t>
  </si>
  <si>
    <t>Nozzles, Manholes</t>
  </si>
  <si>
    <t>Paint</t>
  </si>
  <si>
    <t>Blast Sand</t>
  </si>
  <si>
    <t>Epoxy</t>
  </si>
  <si>
    <t>Insulation / Lagging</t>
  </si>
  <si>
    <t>Fiberglass</t>
  </si>
  <si>
    <t>Platform, Stairs, Railing</t>
  </si>
  <si>
    <t xml:space="preserve"> </t>
  </si>
  <si>
    <t>Evaporator Total</t>
  </si>
  <si>
    <t>Annual Brine Output</t>
  </si>
  <si>
    <t>Evaporator 15 effect</t>
  </si>
  <si>
    <t>Design &amp; engineering (8% of contact)</t>
  </si>
  <si>
    <t>Volume of</t>
  </si>
  <si>
    <t>Weight</t>
  </si>
  <si>
    <t>Item</t>
  </si>
  <si>
    <t>Number of Effects (w/o condenser)</t>
  </si>
  <si>
    <t>Tube Length</t>
  </si>
  <si>
    <t>ft</t>
  </si>
  <si>
    <t>Tubes per Effect</t>
  </si>
  <si>
    <t>Effect Area</t>
  </si>
  <si>
    <r>
      <t>ft</t>
    </r>
    <r>
      <rPr>
        <vertAlign val="superscript"/>
        <sz val="10"/>
        <rFont val="Arial"/>
        <family val="2"/>
      </rPr>
      <t>2</t>
    </r>
  </si>
  <si>
    <t>Tube Bundle Diameter</t>
  </si>
  <si>
    <t>Total Vessel Height</t>
  </si>
  <si>
    <t>Tube Vessel Width</t>
  </si>
  <si>
    <t>Separation Vessel Width</t>
  </si>
  <si>
    <t>Demister Area per Effect</t>
  </si>
  <si>
    <t>Tube Diameter</t>
  </si>
  <si>
    <t>inches</t>
  </si>
  <si>
    <t>Vessel Material</t>
  </si>
  <si>
    <t>Vessel Cladding</t>
  </si>
  <si>
    <t>Tube Material (double fluted) E2-15</t>
  </si>
  <si>
    <t>Alternative to be tested, Aluminum Brass</t>
  </si>
  <si>
    <t>Tube Material (smooth or fluted) E1</t>
  </si>
  <si>
    <t>Ti</t>
  </si>
  <si>
    <t>Alternatives to be evaluated, double fluted 90/10 CuNi or Aluminum Brass</t>
  </si>
  <si>
    <t>Vertical Tube Condenser</t>
  </si>
  <si>
    <t>Number of Bundles per Unit</t>
  </si>
  <si>
    <t>Tubes per Bundle</t>
  </si>
  <si>
    <t>Heat Transfer Area</t>
  </si>
  <si>
    <t>Overall Vessel Width</t>
  </si>
  <si>
    <t>Tube Material (smooth)</t>
  </si>
  <si>
    <t>Alternative, Naval Bronze</t>
  </si>
  <si>
    <t>Evaporator</t>
  </si>
  <si>
    <t>Number of Effects per Stack</t>
  </si>
  <si>
    <t>per stack</t>
  </si>
  <si>
    <t>Number of Bundles per Effect</t>
  </si>
  <si>
    <t>per effect</t>
  </si>
  <si>
    <t>Number Of Tube Bundles per Unit</t>
  </si>
  <si>
    <t>per unit</t>
  </si>
  <si>
    <t>Vessel Height</t>
  </si>
  <si>
    <t>Bundle Insert Width</t>
  </si>
  <si>
    <t>Tube Material (double fluted) E2-5</t>
  </si>
  <si>
    <t>Vertical Tube Condenser/Heater</t>
  </si>
  <si>
    <t>Tube Length (straight tubes)</t>
  </si>
  <si>
    <t>Heat Transfer Area per Bundle</t>
  </si>
  <si>
    <t>Tube Material (smooth or fluted)</t>
  </si>
  <si>
    <t>Pond Bottom Area</t>
  </si>
  <si>
    <t>In acres</t>
  </si>
  <si>
    <t>square feet</t>
  </si>
  <si>
    <t>Pond Inside Edge</t>
  </si>
  <si>
    <t>feet</t>
  </si>
  <si>
    <t>Berm Height</t>
  </si>
  <si>
    <t>Berm Top Width</t>
  </si>
  <si>
    <t>Berm Slope X:1</t>
  </si>
  <si>
    <t>W:H ratio</t>
  </si>
  <si>
    <t>Berm Base Width</t>
  </si>
  <si>
    <t>Berm Cross Section</t>
  </si>
  <si>
    <t>Berm Corner Volume</t>
  </si>
  <si>
    <t>cubic yards</t>
  </si>
  <si>
    <t>Berm Side Volume</t>
  </si>
  <si>
    <t>Total Berm Volume</t>
  </si>
  <si>
    <t>Dirt Fill Unit Cost</t>
  </si>
  <si>
    <t>cubic yard</t>
  </si>
  <si>
    <t>Berm Fill Cost</t>
  </si>
  <si>
    <t>total</t>
  </si>
  <si>
    <t>EDPM Liner roll width</t>
  </si>
  <si>
    <t>EDPM Liner roll length</t>
  </si>
  <si>
    <t>EDPM Liner roll cost</t>
  </si>
  <si>
    <t>Number of Rolls</t>
  </si>
  <si>
    <t>Cost of Liner 45 mil</t>
  </si>
  <si>
    <t>PVC Liner roll width</t>
  </si>
  <si>
    <t>PVC Liner roll length</t>
  </si>
  <si>
    <t>PVC Liner roll cost</t>
  </si>
  <si>
    <t>Cost of Liner 20 mil</t>
  </si>
  <si>
    <t>Canal Bottom Width</t>
  </si>
  <si>
    <t>Canal Length</t>
  </si>
  <si>
    <t>Canal Bottom Area</t>
  </si>
  <si>
    <t>Canal Inside Edge</t>
  </si>
  <si>
    <t>Maintenance Cost per acre</t>
  </si>
  <si>
    <t>VTE Plant Specs</t>
  </si>
  <si>
    <t>Amount</t>
  </si>
  <si>
    <t>Groundwater Costs</t>
  </si>
  <si>
    <t>Wellfield development (IID)</t>
  </si>
  <si>
    <t>Distillate purity (minimum)</t>
  </si>
  <si>
    <t>Underrun recharge (IID)</t>
  </si>
  <si>
    <t>Performance Ratio</t>
  </si>
  <si>
    <t>lb/1000 Btu</t>
  </si>
  <si>
    <t>Sustained groundwater cost</t>
  </si>
  <si>
    <t>Steam Pressure</t>
  </si>
  <si>
    <t>Steam Requirement</t>
  </si>
  <si>
    <t>Blended Water Costs</t>
  </si>
  <si>
    <t>Local water distribution (IID)</t>
  </si>
  <si>
    <t>Groundwater TDS</t>
  </si>
  <si>
    <t>Ratio groundwater/distillate</t>
  </si>
  <si>
    <t>Local blended water cost</t>
  </si>
  <si>
    <t>Blended water capacity</t>
  </si>
  <si>
    <t>acre-ft/day</t>
  </si>
  <si>
    <t>VTE Plant Costs</t>
  </si>
  <si>
    <t>acre-ft/yr</t>
  </si>
  <si>
    <t>Salton Sea return flow</t>
  </si>
  <si>
    <t>Salton Sea return cost</t>
  </si>
  <si>
    <t>30 years</t>
  </si>
  <si>
    <t>Mitigated blended water cost</t>
  </si>
  <si>
    <t>per gpd</t>
  </si>
  <si>
    <t>IID Interim Water Supply Policy</t>
  </si>
  <si>
    <t>New blended water supply</t>
  </si>
  <si>
    <t>IID Interim Water Supply price</t>
  </si>
  <si>
    <t>New blended water supply cost</t>
  </si>
  <si>
    <t>New blended water savings</t>
  </si>
  <si>
    <t>Levellized blended distillate groundwater cost</t>
  </si>
  <si>
    <t>Avg. TDS</t>
  </si>
  <si>
    <t xml:space="preserve">Blend ratio </t>
  </si>
  <si>
    <t>Development cost</t>
  </si>
  <si>
    <t>Net water cost</t>
  </si>
  <si>
    <t>Notes</t>
  </si>
  <si>
    <t>(AF/yr)</t>
  </si>
  <si>
    <t>(mg/liter)</t>
  </si>
  <si>
    <t>($/AF)</t>
  </si>
  <si>
    <t>Best case groundwater TDS</t>
  </si>
  <si>
    <t>IID Underun 19,000+ AF/yr available</t>
  </si>
  <si>
    <t>Sources: IID Draft IRP Appendix F pg. 6, Appendix N pg. 26</t>
  </si>
  <si>
    <t>East Mesa Groundwater &amp; Stored Underrun Pumped</t>
  </si>
  <si>
    <t>Sources: IID Draft IRP Executive Summary pg. 8, Appendix N pg. 26</t>
  </si>
  <si>
    <t>Z Drain Tile, Tail, and Spill</t>
  </si>
  <si>
    <t>Sources: 2010 IID TMDL flow data, Z Drain water analysis</t>
  </si>
  <si>
    <t>Z Drain with Groundwater, total flow in Z Drain</t>
  </si>
  <si>
    <t>Sources: IID Draft IRP Appendix G pg. 21</t>
  </si>
  <si>
    <t>Z Drain Flow to Salton Sea</t>
  </si>
  <si>
    <t>Makeup Flow to Salton Sea</t>
  </si>
  <si>
    <t>Sources: VTE Geothermal Desalination Pilot Project data and estimates, Z Drain water analysis</t>
  </si>
  <si>
    <t>New Irrigation Drain Water (to blending)</t>
  </si>
  <si>
    <t>Sources: IID Draft IRP Executive Summary pg. 8, Appendix N pg. 26 and IRWMP Project 42</t>
  </si>
  <si>
    <t>VTE Plant Seawater Feed</t>
  </si>
  <si>
    <t>Salton Seawater feed needed for 6 fold concentration.</t>
  </si>
  <si>
    <t>VTE Plant Concentrate</t>
  </si>
  <si>
    <t>Concentrate goes to fill new Salt Gradient Solar Ponds on playa generating electricity and revenue</t>
  </si>
  <si>
    <t>VTE Plant Distillate (to blending)</t>
  </si>
  <si>
    <t>Sources: VTE Geothermal Desalination Pilot Project data and estimates</t>
  </si>
  <si>
    <t>Blended Recaimed Water (in lieu of River water)</t>
  </si>
  <si>
    <t xml:space="preserve">Delivered to geothermal plants, local farms, or habitat in lieu of Colorado River water, exchanged for river water delivered to industry </t>
  </si>
  <si>
    <t>Salt Inflow to Salton Sea (tons)</t>
  </si>
  <si>
    <t>Salt Withdrawn from Salton Sea (tons)</t>
  </si>
  <si>
    <t>Beneficial Salt Balance to Salton Sea (tons)</t>
  </si>
  <si>
    <t>Worse case groundwater TDS</t>
  </si>
  <si>
    <t>Blended Reclaimed Water (in lieu of River water)</t>
  </si>
  <si>
    <t>Worst case groundwater TDS</t>
  </si>
  <si>
    <t>Sources: IID Draft IRP Appendix N pg. 26</t>
  </si>
  <si>
    <t>w/ 6.4% inflation</t>
  </si>
  <si>
    <t>Wellfield Costs</t>
  </si>
  <si>
    <t>Direct Capital Costs (original sources)</t>
  </si>
  <si>
    <t>Direct Capital Costs (adjusted to 2013)</t>
  </si>
  <si>
    <t>Ultrafiltration Plant (2001)</t>
  </si>
  <si>
    <t>Source Water Development (2013)</t>
  </si>
  <si>
    <t>Source Water Development (2009)</t>
  </si>
  <si>
    <t>Working Capital (2 months of O&amp;M costs)</t>
  </si>
  <si>
    <t>Recharge Facilities (2009)</t>
  </si>
  <si>
    <t>Direct Capital Costs (adjusted to 2011)</t>
  </si>
  <si>
    <t>Cooling Blowdown or Seawater Distillation Plant (2009)</t>
  </si>
  <si>
    <t>Mitigation Costs (reduced flow from drains 2009)</t>
  </si>
  <si>
    <t>Indirect Capital Costs</t>
  </si>
  <si>
    <t>Product Water Distribution (2009)</t>
  </si>
  <si>
    <t>Freight and Insurance, 5% of direct capital cost</t>
  </si>
  <si>
    <t>Owner's direct expense, 10% of direct capital cost</t>
  </si>
  <si>
    <t>Direct Capital Costs (old)</t>
  </si>
  <si>
    <t>Construction Overhead, 15% of direct capital cost</t>
  </si>
  <si>
    <t>Interest During Construction (1/2 of period 6% rate)</t>
  </si>
  <si>
    <t>Capital Cost</t>
  </si>
  <si>
    <t>Annual O&amp;M costs Wellfield (2013)</t>
  </si>
  <si>
    <t>Annual O&amp;M costs Drain Delivery (2013)</t>
  </si>
  <si>
    <t>Financial Analysis - cost per acre foot</t>
  </si>
  <si>
    <t>Equivalent Annual Cost (4% bond financed)</t>
  </si>
  <si>
    <t>Annual O&amp;M costs Wellfield (2009)</t>
  </si>
  <si>
    <t>Product Water, acre - feet</t>
  </si>
  <si>
    <t>Annual O&amp;M costs Drain Delivery (2009)</t>
  </si>
  <si>
    <t>Equivalent annual cost per acre foot</t>
  </si>
  <si>
    <t>Equivalent Annual Cost</t>
  </si>
  <si>
    <t>Recharge Costs</t>
  </si>
  <si>
    <t>Recharge Facilities (2013)</t>
  </si>
  <si>
    <t>Annual O&amp;M costs Recharge (2013)</t>
  </si>
  <si>
    <t>15 Effect VTE Desalination Cost Estimate 5 MGD</t>
  </si>
  <si>
    <t>Annual O&amp;M costs Recharge (2009)</t>
  </si>
  <si>
    <t>Cooling Blowdown or Seawater Distillation Plant (2013)</t>
  </si>
  <si>
    <t>Desalination Costs</t>
  </si>
  <si>
    <t>Annual O&amp;M costs Steam (2013)</t>
  </si>
  <si>
    <t>Annual O&amp;M costs Distillation (2013)</t>
  </si>
  <si>
    <t>Blended Water Cost (best TDS case)</t>
  </si>
  <si>
    <t>Ultrafiltration/Microfiltration Plant (2003)</t>
  </si>
  <si>
    <t>Seawater Distillation Plants (2013)</t>
  </si>
  <si>
    <t>Mitigation Costs (reduced flow from drains 2013)</t>
  </si>
  <si>
    <t>Annual O&amp;M costs Nonofiltration (2001)</t>
  </si>
  <si>
    <t>Product Water Distribution (2013)</t>
  </si>
  <si>
    <t>Annual O&amp;M costs Distillation (2009)</t>
  </si>
  <si>
    <t>Ultrafiltration/Microfiltration Plant (2001)</t>
  </si>
  <si>
    <t>Seawater Distillation Plants (2009)</t>
  </si>
  <si>
    <t>Enter IID industrial water requirement</t>
  </si>
  <si>
    <t>Remaining</t>
  </si>
  <si>
    <t>IID Interim Water Supply Policy 2012 rate schedule</t>
  </si>
  <si>
    <t>Water supply increment cost level 1</t>
  </si>
  <si>
    <t>Demand (AFY)</t>
  </si>
  <si>
    <t>IID Reservation Fee</t>
  </si>
  <si>
    <t>IID Development Fee</t>
  </si>
  <si>
    <t>Water supply increment cost level 2</t>
  </si>
  <si>
    <t>0-500</t>
  </si>
  <si>
    <t>Water supply increment cost level 3</t>
  </si>
  <si>
    <t>501-1000</t>
  </si>
  <si>
    <t>Water supply increment cost level 4</t>
  </si>
  <si>
    <t>1001-2500</t>
  </si>
  <si>
    <t>Total Annual Cost</t>
  </si>
  <si>
    <t>2501-5000</t>
  </si>
  <si>
    <t>Square Miles of SGSP in Design/Permitting</t>
  </si>
  <si>
    <t>Square Miles of SGSP in Operation</t>
  </si>
  <si>
    <t>SGSP Capital Cost</t>
  </si>
  <si>
    <t>SGSP Operating Cost</t>
  </si>
  <si>
    <t>MWh of Power Produced (baseload seasonal average)</t>
  </si>
  <si>
    <t>Annual Revenue from Power Sold</t>
  </si>
  <si>
    <t>Saturated Brine Cost (600 acre build/yr)</t>
  </si>
  <si>
    <t>Assumptions used for Estimate</t>
  </si>
  <si>
    <t>Baseload Capacity (solar ponds)</t>
  </si>
  <si>
    <t>Annnual Output (solar ponds)</t>
  </si>
  <si>
    <t>Mwh/yr</t>
  </si>
  <si>
    <t>Unit Energy Cost (solar ponds)</t>
  </si>
  <si>
    <t>per MW</t>
  </si>
  <si>
    <t>Annualized Cost (solar ponds)</t>
  </si>
  <si>
    <t>Distilled Water Cost (distilled water returned to Sea)</t>
  </si>
  <si>
    <t>Distilled Water Rate (distilled water returned to Sea)</t>
  </si>
  <si>
    <t>Well Water Cost</t>
  </si>
  <si>
    <t>Build Water</t>
  </si>
  <si>
    <t>acre-ft</t>
  </si>
  <si>
    <t>Build Water Cost</t>
  </si>
  <si>
    <t>Per 10 MW</t>
  </si>
  <si>
    <t>Pond Makeup Water</t>
  </si>
  <si>
    <t>Annualized Pond Operation Water Cost</t>
  </si>
  <si>
    <t>Saturated Brine Costs</t>
  </si>
  <si>
    <t>O&amp;M Costs</t>
  </si>
  <si>
    <t>Saturated brine cost</t>
  </si>
  <si>
    <t>Brine to Ponds</t>
  </si>
  <si>
    <t>Unit Brine Cost</t>
  </si>
  <si>
    <t>Annual Brine Cost (equals annual VTE plant cost)</t>
  </si>
  <si>
    <t>Unit Energy Cost of brine ($/MWh)</t>
  </si>
  <si>
    <t>per MWh</t>
  </si>
  <si>
    <t>Permits (1yr)</t>
  </si>
  <si>
    <t>Construction (1yr)</t>
  </si>
  <si>
    <t>Operation (1yr)</t>
  </si>
  <si>
    <t>Plant Life Cost (30yr)</t>
  </si>
  <si>
    <t>Pond Construction manager</t>
  </si>
  <si>
    <t>Personnel</t>
  </si>
  <si>
    <t>Chemical/Process Engineer</t>
  </si>
  <si>
    <t>Pond Operations Manager</t>
  </si>
  <si>
    <t>Pond and Plant Operators (8)</t>
  </si>
  <si>
    <t>Equipment Maintenance Techs (4)</t>
  </si>
  <si>
    <t>On site Lab Techs (4)</t>
  </si>
  <si>
    <t>Accounting Service</t>
  </si>
  <si>
    <t>Permit documentation and fees</t>
  </si>
  <si>
    <t>Permits/Insurance</t>
  </si>
  <si>
    <t>Pollution liability insurance</t>
  </si>
  <si>
    <t>Commercial general liability insurance</t>
  </si>
  <si>
    <t>Power generation equipment (rent)</t>
  </si>
  <si>
    <t>Pond Construction</t>
  </si>
  <si>
    <t>Site lighting</t>
  </si>
  <si>
    <t xml:space="preserve">Dike material aquisition (IID Quarry?) </t>
  </si>
  <si>
    <t>In Sea dike construction and maintenance</t>
  </si>
  <si>
    <t>Pump out ponds inside dikes</t>
  </si>
  <si>
    <t>Muck out ponds</t>
  </si>
  <si>
    <t>Construction piping</t>
  </si>
  <si>
    <t>Run power to pond pumps</t>
  </si>
  <si>
    <t xml:space="preserve">Site communications </t>
  </si>
  <si>
    <t>Construction Equipment Rental</t>
  </si>
  <si>
    <t>Install and maintain pond piping</t>
  </si>
  <si>
    <t>Install and maintain pond pumps</t>
  </si>
  <si>
    <t>Electric Generation</t>
  </si>
  <si>
    <t>Install and maintain seawater intake</t>
  </si>
  <si>
    <t>Water Treatment</t>
  </si>
  <si>
    <t>Water treatment chemicals</t>
  </si>
  <si>
    <t>Pond film and recharge (Cover Free)</t>
  </si>
  <si>
    <t>Pond Liner</t>
  </si>
  <si>
    <t>Pipe penetration boots</t>
  </si>
  <si>
    <t>Metal storage sheds</t>
  </si>
  <si>
    <t>Infrastructure</t>
  </si>
  <si>
    <t>Transportation (truck rentals)</t>
  </si>
  <si>
    <t>Shop equiptment</t>
  </si>
  <si>
    <t>Small Tools &amp; Supplies</t>
  </si>
  <si>
    <t>Working Cash</t>
  </si>
  <si>
    <t>Sub total</t>
  </si>
  <si>
    <t>Construction Bond period (years)</t>
  </si>
  <si>
    <t>Construction Bond Annual Interest Rate</t>
  </si>
  <si>
    <t>Montly Loan Payment</t>
  </si>
  <si>
    <t>Construction Financing Total @ 4.5% for 30 years</t>
  </si>
  <si>
    <t>Total</t>
  </si>
  <si>
    <t>Baseload Generation (MW)</t>
  </si>
  <si>
    <t>Annual Electricity Output MWh</t>
  </si>
  <si>
    <t>Net Equity</t>
  </si>
  <si>
    <t>Salinity Gradient Solar Ponds</t>
  </si>
  <si>
    <t>Capital Cost per square mile</t>
  </si>
  <si>
    <t>Power output capacity per square mile (baseload seasonal average)</t>
  </si>
  <si>
    <t>MWh</t>
  </si>
  <si>
    <t>Purchase Price of Power</t>
  </si>
  <si>
    <t>Annual revenue estimate per square mile</t>
  </si>
  <si>
    <t>per AF</t>
  </si>
  <si>
    <t>Annual Operation and Maintenence Cost per square mile</t>
  </si>
  <si>
    <t>Annual Net Income</t>
  </si>
  <si>
    <t>Duration of Power Purchase Agreement (PPA)</t>
  </si>
  <si>
    <t>Total return on fixed PPA</t>
  </si>
  <si>
    <t>Annual return on fixed PPA</t>
  </si>
  <si>
    <t>Transmission Cost</t>
  </si>
  <si>
    <t>California ISO Wheeling Rate</t>
  </si>
  <si>
    <t>IID Wheeling Rate</t>
  </si>
  <si>
    <t>per MW/month</t>
  </si>
  <si>
    <t>IID Wheeling Rate (baseload)</t>
  </si>
  <si>
    <t>Number of 6 MGD Salt Separation Plants in Design/Permitting</t>
  </si>
  <si>
    <t>Number of 6 MGD Salt Separation Plants in Construction</t>
  </si>
  <si>
    <t>Number of 6 MGD Salt Separation Plants in Operation</t>
  </si>
  <si>
    <t>6 MGD Salt Separation Plants Capital Cost</t>
  </si>
  <si>
    <t>6 MGD Salt Separation Plants Operating Cost</t>
  </si>
  <si>
    <t>Solar Salt sold into market (metric tonnes per year)</t>
  </si>
  <si>
    <t>Mixed Salts to SGSP (metric tonnes per year)</t>
  </si>
  <si>
    <t>Refined Salt sold into market (metric tonnes per year)</t>
  </si>
  <si>
    <t>Mixed Salts in Reject</t>
  </si>
  <si>
    <t>Annual Mixed Salt output</t>
  </si>
  <si>
    <t>SGSP filled per year (square miles)</t>
  </si>
  <si>
    <t>Salt in Saturated Brine</t>
  </si>
  <si>
    <t>tonne/AF</t>
  </si>
  <si>
    <t>kg/gal</t>
  </si>
  <si>
    <t>Salt to Ponds</t>
  </si>
  <si>
    <t>tonne/yr</t>
  </si>
  <si>
    <t>Cumulative SGSP brine fill (square miles)</t>
  </si>
  <si>
    <t>Annual Pretax Return on Investment</t>
  </si>
  <si>
    <t>Percentage of thermal capacity for thermal distillation</t>
  </si>
  <si>
    <t xml:space="preserve">Average electrical output kW/ 5 acres </t>
  </si>
  <si>
    <t>Install and maintain ORC engines (10 MW)</t>
  </si>
  <si>
    <t>Install and maintain power transmission (10 MW)</t>
  </si>
  <si>
    <t>Pond liner purchase (hi-temperature)</t>
  </si>
  <si>
    <t>Pond liner installation support (hi-temperature)</t>
  </si>
  <si>
    <t>Brine Cost (free from salt extraction reject and VTE)</t>
  </si>
  <si>
    <t>Total Salts to Sale (metric tonnes per year)</t>
  </si>
  <si>
    <t>Acre-feet of Blended Water Delivered to Salton Sea Habitat</t>
  </si>
  <si>
    <t>Annual Cost of Blended Water</t>
  </si>
  <si>
    <t>Unit Cost of Blended Water</t>
  </si>
  <si>
    <t>Annual Geothermal Steam and Power Payment to CalEnergy</t>
  </si>
  <si>
    <t>Annual Net Revenue</t>
  </si>
  <si>
    <t>Seawater Water Make-up Pumping (AFY)</t>
  </si>
  <si>
    <t>Number of 1 MGD Salt Separation Plants in Design/Permitting</t>
  </si>
  <si>
    <t>Number of  1 MGD Salt Separation Plants in Construction</t>
  </si>
  <si>
    <t>Number of  1 MGD Salt Separation Plants in Operation</t>
  </si>
  <si>
    <t>Capacity Factor to 1 MGD</t>
  </si>
  <si>
    <t>Cost to Feed 1 MGD Pond VTE</t>
  </si>
  <si>
    <t>US gal/AF</t>
  </si>
  <si>
    <t>Acre-feet of Distilled Water Consumed for SGSP Surface Make-up</t>
  </si>
  <si>
    <t>Install and maintain seawater distillation equipment</t>
  </si>
  <si>
    <t>Annual avg water use for surface make-up (AFY)</t>
  </si>
  <si>
    <t>Annual avg water production (AFY)</t>
  </si>
  <si>
    <t>Annual avg water surplus/defecit (AFY)</t>
  </si>
  <si>
    <t>Square Miles of SGSP in Construction</t>
  </si>
  <si>
    <t>Makeup Water Cost (internally produced from Salton Sea)</t>
  </si>
  <si>
    <t xml:space="preserve"> 1 MGD Salt Separation Plants Capital Cost</t>
  </si>
  <si>
    <t xml:space="preserve"> 1 MGD Salt Separation Plants Operating Cost</t>
  </si>
  <si>
    <t>MW Power Capacity (baseload seasonal average)</t>
  </si>
  <si>
    <t>acres</t>
  </si>
  <si>
    <t>square meters</t>
  </si>
  <si>
    <t>Pond Berm slope</t>
  </si>
  <si>
    <t>to one</t>
  </si>
  <si>
    <t>LCZ Depth</t>
  </si>
  <si>
    <t>meters</t>
  </si>
  <si>
    <t>NCZ Depth</t>
  </si>
  <si>
    <t>UCZ Depth</t>
  </si>
  <si>
    <t>Freeboard</t>
  </si>
  <si>
    <t>Berm height</t>
  </si>
  <si>
    <t xml:space="preserve">feet </t>
  </si>
  <si>
    <t>Berm run</t>
  </si>
  <si>
    <t>Square Pond Berm bottom edge</t>
  </si>
  <si>
    <t>Square Pond Berm top edge</t>
  </si>
  <si>
    <t>Square Pond Berm linear feet</t>
  </si>
  <si>
    <t>LCZ volume</t>
  </si>
  <si>
    <t>cubic meters</t>
  </si>
  <si>
    <t>NCZ volume</t>
  </si>
  <si>
    <t>UCZ volume</t>
  </si>
  <si>
    <t>LCZ Specific Gravity</t>
  </si>
  <si>
    <t>UCZ Specific Gravity</t>
  </si>
  <si>
    <t>Density of water</t>
  </si>
  <si>
    <r>
      <t>tonne/m</t>
    </r>
    <r>
      <rPr>
        <vertAlign val="superscript"/>
        <sz val="11"/>
        <color theme="1"/>
        <rFont val="Calibri"/>
        <family val="2"/>
        <scheme val="minor"/>
      </rPr>
      <t>3</t>
    </r>
  </si>
  <si>
    <t>Density of saturated NaCl at 49.93 deg C</t>
  </si>
  <si>
    <t>Density of LCZ brine</t>
  </si>
  <si>
    <t>Mass percent LCZ if NaCl solution</t>
  </si>
  <si>
    <t>Density of UCZ brine</t>
  </si>
  <si>
    <t>Mass percent UCZ if NaCl solution</t>
  </si>
  <si>
    <t>LCZ Salt Content</t>
  </si>
  <si>
    <t>tonnes</t>
  </si>
  <si>
    <t>NCZ Salt Content</t>
  </si>
  <si>
    <t>UCZ Salt Content</t>
  </si>
  <si>
    <t>Total Metric tons of salt held by SGSP</t>
  </si>
  <si>
    <t>Annual Metric Tons of Salt Removed</t>
  </si>
  <si>
    <t>Value of Salt Removal (per metric ton)</t>
  </si>
  <si>
    <t>Annual Revenue from Salt Removal</t>
  </si>
  <si>
    <t>MW Power Capacity Increment (baseload seasonal average)</t>
  </si>
  <si>
    <t>Reject capacity</t>
  </si>
  <si>
    <t>Price per MWh (current local baseload renewable contract rate)</t>
  </si>
  <si>
    <t>Office Supplies &amp; Services</t>
  </si>
  <si>
    <t>Annual Loan Repayment (monthly installments)</t>
  </si>
  <si>
    <t>Annual Profit/Loss</t>
  </si>
  <si>
    <t>Total Salt Content (per pond)</t>
  </si>
  <si>
    <t>75% reduction</t>
  </si>
  <si>
    <t>Salt Fill Labor Cost per Pond</t>
  </si>
  <si>
    <t>Pond bottom size</t>
  </si>
  <si>
    <t>Maintenance Cost per pond</t>
  </si>
  <si>
    <t>Pond brine capacity</t>
  </si>
  <si>
    <t>acre feet</t>
  </si>
  <si>
    <t>metric tons</t>
  </si>
  <si>
    <t>Liters per acre foot</t>
  </si>
  <si>
    <t>Cubic meters per acre foot</t>
  </si>
  <si>
    <t>Mass percent NaCl brine</t>
  </si>
  <si>
    <t>Density of NaCl brine</t>
  </si>
  <si>
    <t>Saturated salt capacity per pond</t>
  </si>
  <si>
    <t>Playa covered with solar salt evaporation ponds (acres)</t>
  </si>
  <si>
    <t>Saturated salt capacity per acre</t>
  </si>
  <si>
    <t>Capital Cost per pond</t>
  </si>
  <si>
    <t>Harvest cost per acre</t>
  </si>
  <si>
    <t>Harvest Cost per pond</t>
  </si>
  <si>
    <t>Annual operating cost per pond</t>
  </si>
  <si>
    <t>Annual operating cost per acre</t>
  </si>
  <si>
    <t>Capital Cost per acre</t>
  </si>
  <si>
    <t>6 MGD Salt Separation Plants Energy Cost (paid to geothermal)</t>
  </si>
  <si>
    <t>Vacuum Salt Refining Energy Cost (paid to geothermal)</t>
  </si>
  <si>
    <t>Pecentage of Purified Salt sent to Vacuum Refining at Solar Ponds</t>
  </si>
  <si>
    <t>Metric Tons of Solar Salt Produced at Solar Ponds</t>
  </si>
  <si>
    <t>Acre-feet of Distilled Water Produced by SGSP (25% water/power)</t>
  </si>
  <si>
    <t>All salts removed from Salton Sea system (metric tonnes per year)</t>
  </si>
  <si>
    <t>by weight</t>
  </si>
  <si>
    <t>Salt Price (2015 Domestic)</t>
  </si>
  <si>
    <t>Inflation</t>
  </si>
  <si>
    <t>Capital Cost Inflation</t>
  </si>
  <si>
    <t>Inflation Adjusted Total Capital Costs</t>
  </si>
  <si>
    <t>Inflation Adjusted Total Operating Costs</t>
  </si>
  <si>
    <t>Operating Cash</t>
  </si>
  <si>
    <t>Private Funds Borrowed</t>
  </si>
  <si>
    <t>Cumulative Private Debt</t>
  </si>
  <si>
    <t xml:space="preserve"> 1 MGD Salt Separation Plants Energy Cost (paid to SGSP)</t>
  </si>
  <si>
    <t>Cumulative Private Capital Invested</t>
  </si>
  <si>
    <t>Annual Electricity Revenue @ $85/MWh</t>
  </si>
  <si>
    <t>Evaporation loss</t>
  </si>
  <si>
    <t>Annual power output per square mile</t>
  </si>
  <si>
    <t>Solar Salt Evaporation Pond Sizing and Costs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</si>
  <si>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</si>
  <si>
    <r>
      <t>per m</t>
    </r>
    <r>
      <rPr>
        <vertAlign val="superscript"/>
        <sz val="10"/>
        <rFont val="Arial"/>
        <family val="2"/>
      </rPr>
      <t>3</t>
    </r>
  </si>
  <si>
    <t>Thermal Use per m3</t>
  </si>
  <si>
    <r>
      <t>kWh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3</t>
    </r>
  </si>
  <si>
    <t>Enthalpy of Evaporation</t>
  </si>
  <si>
    <t>Amortized Capital Cost</t>
  </si>
  <si>
    <t>Thermal rate (geothermal)</t>
  </si>
  <si>
    <t>Thermal cost (geothermal)</t>
  </si>
  <si>
    <t>BTU/hr</t>
  </si>
  <si>
    <r>
      <t>kW</t>
    </r>
    <r>
      <rPr>
        <vertAlign val="subscript"/>
        <sz val="10"/>
        <rFont val="Arial"/>
        <family val="2"/>
      </rPr>
      <t>t</t>
    </r>
  </si>
  <si>
    <t>KW</t>
  </si>
  <si>
    <t>Evaporator 60 effects</t>
  </si>
  <si>
    <t>lbs/1,000 BTU</t>
  </si>
  <si>
    <t>20 MGD 60 Effect VTE-MED</t>
  </si>
  <si>
    <r>
      <t>Electrical Use per m</t>
    </r>
    <r>
      <rPr>
        <vertAlign val="superscript"/>
        <sz val="10"/>
        <rFont val="Arial"/>
        <family val="2"/>
      </rPr>
      <t>3</t>
    </r>
  </si>
  <si>
    <r>
      <t>kWh/m</t>
    </r>
    <r>
      <rPr>
        <vertAlign val="superscript"/>
        <sz val="10"/>
        <rFont val="Arial"/>
        <family val="2"/>
      </rPr>
      <t>3</t>
    </r>
  </si>
  <si>
    <t>multiplier</t>
  </si>
  <si>
    <t>15-60 effect</t>
  </si>
  <si>
    <t>Thermal requirement @392°F</t>
  </si>
  <si>
    <r>
      <t>Thermal Use per m</t>
    </r>
    <r>
      <rPr>
        <vertAlign val="superscript"/>
        <sz val="10"/>
        <rFont val="Arial"/>
        <family val="2"/>
      </rPr>
      <t>3</t>
    </r>
  </si>
  <si>
    <t>15 Effect 5 MGD design</t>
  </si>
  <si>
    <t>15 Effect 5 MGD 3 Stacks</t>
  </si>
  <si>
    <t>Pump Specifications</t>
  </si>
  <si>
    <t>15 Effect 5 MGD Design Capital Cost Estimate</t>
  </si>
  <si>
    <t>15 Effect 5 MGD VTE-MED</t>
  </si>
  <si>
    <t>Levellized Cost Estimate</t>
  </si>
  <si>
    <t>Evaporator Specifications</t>
  </si>
  <si>
    <t>Stacked VTE-MED Configuration</t>
  </si>
  <si>
    <t>Alternative to be tested: Aluminum Brass</t>
  </si>
  <si>
    <t>Alternatives to be evaluated:</t>
  </si>
  <si>
    <t>double fluted 90/10 CuNi or Aluminum Brass</t>
  </si>
  <si>
    <t>60 Effect 20 MGD VTE-MED</t>
  </si>
  <si>
    <t>Number of 20 MGD VTE Plants in Design/Permitting</t>
  </si>
  <si>
    <t>Number of 20 MGD VTE Plants in Construction</t>
  </si>
  <si>
    <t>Number of 20 MGD VTE Plants in Operation</t>
  </si>
  <si>
    <t>20 MGD VTE Distillation Plants Capital Cost</t>
  </si>
  <si>
    <t>20 MGD VTE Distillation Plants Operating Cost</t>
  </si>
  <si>
    <t>20 MGD VTE Distillation Plants Energy Cost (paid to geothermal)</t>
  </si>
  <si>
    <t>20 MGD VTE Acre-feet of Distilled Water Produced</t>
  </si>
  <si>
    <t>Price of Solar Salt (2017 USGS trendline price per metric tonne)</t>
  </si>
  <si>
    <t>Price of Refined Salt (2017 USGS trendline per metric tonne)</t>
  </si>
  <si>
    <t>Operating Cost Inflation</t>
  </si>
  <si>
    <t>Acre-feet of Distilled Water Sold to Customers (AFY)</t>
  </si>
  <si>
    <t>Acres of land covered (can be dust emmitting playa)</t>
  </si>
  <si>
    <t>Price of water sold per AF</t>
  </si>
  <si>
    <t>20 MGD VTE Acre-feet of Saturated Brine Produced</t>
  </si>
  <si>
    <t>Annual Revenue from Water Sold to Customers</t>
  </si>
  <si>
    <t>Annual Salt in Brine Output</t>
  </si>
  <si>
    <t>20 MGD VTE Metric Tons of Salt in Brine</t>
  </si>
  <si>
    <t>Land covered with solar salt evaporation ponds (acres)</t>
  </si>
  <si>
    <t>Portion of Annual Domestic Solar Salt Consumption (2017 basis)</t>
  </si>
  <si>
    <t>Portion of Annual Domestic Refined Salt Consumption (2017 basis)</t>
  </si>
  <si>
    <t>Imported seawater commodity purchase from Mexico</t>
  </si>
  <si>
    <t>Imported seawater conveyance purchase from State or U.S. Federal</t>
  </si>
  <si>
    <t>Quantity of seawater imported (acre feet per year)</t>
  </si>
  <si>
    <t>Purified salt production from Salinity Gradient Solar Ponds</t>
  </si>
  <si>
    <t>Purified salt &amp; water production from Geothermal Distillation</t>
  </si>
  <si>
    <t>Seawater Import cost (long term contract with US &amp; Mexico)</t>
  </si>
  <si>
    <t>Geothermal Steam &amp; Power Purchase Agreement (Privately Funded)</t>
  </si>
  <si>
    <t>Private Salton Sea Restoration Enterprise Overall Finanacials</t>
  </si>
  <si>
    <t>Power &amp; Water production from Salinity Gradient Solar Ponds</t>
  </si>
  <si>
    <t>Acre-feet of Distilled Water Available (solar)</t>
  </si>
  <si>
    <t>Acre-feet of Seawater drawn by SGSP (25% water/power)</t>
  </si>
  <si>
    <t>Acre-feet of Seawater drawn from  Salton Sea (AFY)</t>
  </si>
  <si>
    <t>Total Seawater drawn from Salton Sea (AFY)</t>
  </si>
  <si>
    <t>Interest Rate on Plant Construction Loans</t>
  </si>
  <si>
    <t>Term of Plant Construction Loans</t>
  </si>
  <si>
    <t>Acre-feet of distilled water supplied to habitat or Salton Sea</t>
  </si>
  <si>
    <t>Acres of habitat sustained with distilled water by SGSP</t>
  </si>
  <si>
    <t>Salton Sea, Water Import Salt Extraction Revenue</t>
  </si>
  <si>
    <t>Domestic salt consumption trendline, from USGS data 2004-2017</t>
  </si>
  <si>
    <t>20 MGD VTE Concentration factor</t>
  </si>
  <si>
    <t>International and interagency agreement schedule</t>
  </si>
  <si>
    <t>Environmental and Permitting Schedule</t>
  </si>
  <si>
    <t>Construction Schedule</t>
  </si>
  <si>
    <t>Acres of habitat sustained with distilled water by SGSP, if wanted</t>
  </si>
  <si>
    <t>Salton Sea Restoration Company, management team in place</t>
  </si>
  <si>
    <t>Salton Sea Restoration Company, design engineering team in place</t>
  </si>
  <si>
    <t>Operation Schedule</t>
  </si>
  <si>
    <t>Ocean Water Import Schedule (US &amp; Mexico)</t>
  </si>
  <si>
    <t>Capacity Factor to 20 MGD</t>
  </si>
  <si>
    <t>Cost to Feed 20 MGD VTE</t>
  </si>
  <si>
    <t>Imported seawater conveyance purchase from Mexico</t>
  </si>
  <si>
    <t>Price of Refined Salt (2018 USGS trendline per metric tonne)</t>
  </si>
  <si>
    <t>Price of Solar Salt (2018 USGS trendline price per metric tonne)</t>
  </si>
  <si>
    <t>Domestic salt consumption trendline, from USGS data 2004-2019</t>
  </si>
  <si>
    <t>Portion of Annual Domestic Solar Salt Consumption (2019 basis)</t>
  </si>
  <si>
    <t>Portion of Annual Domestic Refined Salt Consumption (2019 basis)</t>
  </si>
  <si>
    <t>Acre-feet of distilled water supplied to habitat or Salton Sea (AFY)</t>
  </si>
  <si>
    <t>Number of 20 MGD VTE Plants in Operation (2 per year up to 24)</t>
  </si>
  <si>
    <t>Number of Vacuum Salt Refining Plants in Operation (max 60 for 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</si>
</sst>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8" formatCode="&quot;$&quot;#,##0.00_);[Red]\(&quot;$&quot;#,##0.00\)"/>
    <numFmt numFmtId="164" formatCode="\$#,##0.00"/>
    <numFmt numFmtId="165" formatCode="[$$-409]#,##0.00;[Red]\-[$$-409]#,##0.00"/>
    <numFmt numFmtId="166" formatCode="#,##0.0"/>
    <numFmt numFmtId="167" formatCode="0.00000"/>
    <numFmt numFmtId="168" formatCode="#,##0.0000"/>
    <numFmt numFmtId="169" formatCode="\$#,##0.0000"/>
    <numFmt numFmtId="170" formatCode="#,##0.0000000"/>
    <numFmt numFmtId="171" formatCode="0.0"/>
    <numFmt numFmtId="172" formatCode="#,##0.000000"/>
    <numFmt numFmtId="173" formatCode="\$#,##0.0000000"/>
    <numFmt numFmtId="174" formatCode="\$#,##0.00000"/>
    <numFmt numFmtId="175" formatCode="\$#,##0.000"/>
    <numFmt numFmtId="176" formatCode="[$$-409]#,##0;[Red]\-[$$-409]#,##0"/>
    <numFmt numFmtId="177" formatCode="0.0%"/>
    <numFmt numFmtId="178" formatCode="[$$-409]#,##0.0000;[Red]\-[$$-409]#,##0.0000"/>
    <numFmt numFmtId="179" formatCode="[$$-409]#,##0.0000;[Red][$$-409]#,##0.0000"/>
    <numFmt numFmtId="180" formatCode="[$$-409]#,##0.000;[Red][$$-409]#,##0.000"/>
    <numFmt numFmtId="181" formatCode="[$$-409]#,##0.00;[Red][$$-409]#,##0.00"/>
    <numFmt numFmtId="182" formatCode="[$$-409]#,##0.000;[Red]\-[$$-409]#,##0.000"/>
    <numFmt numFmtId="183" formatCode="#,##0.000"/>
    <numFmt numFmtId="184" formatCode="\$#,##0"/>
    <numFmt numFmtId="185" formatCode="_(\$* #,##0.00_);_(\$* \(#,##0.00\);_(\$* \-??_);_(@_)"/>
    <numFmt numFmtId="186" formatCode="&quot;$&quot;#,##0.00"/>
    <numFmt numFmtId="187" formatCode="#,##0;[Red]#,##0"/>
    <numFmt numFmtId="188" formatCode="#,##0.00;[Red]#,##0.00"/>
    <numFmt numFmtId="189" formatCode="&quot;$&quot;#,##0"/>
    <numFmt numFmtId="190" formatCode="#,##0.0;[Red]#,##0.0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252525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5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66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7" fillId="0" borderId="0"/>
    <xf numFmtId="185" fontId="14" fillId="0" borderId="0" applyFill="0" applyBorder="0" applyAlignment="0" applyProtection="0"/>
    <xf numFmtId="0" fontId="3" fillId="0" borderId="0"/>
  </cellStyleXfs>
  <cellXfs count="218">
    <xf numFmtId="0" fontId="0" fillId="0" borderId="0" xfId="0"/>
    <xf numFmtId="0" fontId="4" fillId="0" borderId="0" xfId="0" applyFont="1"/>
    <xf numFmtId="164" fontId="0" fillId="0" borderId="0" xfId="0" applyNumberFormat="1"/>
    <xf numFmtId="0" fontId="0" fillId="0" borderId="0" xfId="0" applyNumberFormat="1"/>
    <xf numFmtId="9" fontId="0" fillId="0" borderId="0" xfId="0" applyNumberFormat="1"/>
    <xf numFmtId="3" fontId="0" fillId="0" borderId="0" xfId="0" applyNumberFormat="1"/>
    <xf numFmtId="0" fontId="0" fillId="0" borderId="0" xfId="0" applyFont="1"/>
    <xf numFmtId="2" fontId="0" fillId="0" borderId="0" xfId="0" applyNumberFormat="1"/>
    <xf numFmtId="4" fontId="0" fillId="0" borderId="0" xfId="0" applyNumberForma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4" fillId="0" borderId="0" xfId="0" applyNumberFormat="1" applyFont="1"/>
    <xf numFmtId="3" fontId="4" fillId="0" borderId="0" xfId="0" applyNumberFormat="1" applyFont="1"/>
    <xf numFmtId="3" fontId="0" fillId="0" borderId="0" xfId="0" applyNumberFormat="1" applyFont="1" applyAlignment="1">
      <alignment wrapText="1"/>
    </xf>
    <xf numFmtId="4" fontId="0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169" fontId="0" fillId="0" borderId="0" xfId="0" applyNumberFormat="1"/>
    <xf numFmtId="170" fontId="0" fillId="0" borderId="0" xfId="0" applyNumberFormat="1"/>
    <xf numFmtId="1" fontId="0" fillId="0" borderId="0" xfId="0" applyNumberFormat="1"/>
    <xf numFmtId="171" fontId="0" fillId="0" borderId="0" xfId="0" applyNumberFormat="1"/>
    <xf numFmtId="172" fontId="0" fillId="0" borderId="0" xfId="0" applyNumberFormat="1"/>
    <xf numFmtId="169" fontId="0" fillId="2" borderId="0" xfId="0" applyNumberFormat="1" applyFill="1"/>
    <xf numFmtId="173" fontId="0" fillId="0" borderId="0" xfId="0" applyNumberFormat="1"/>
    <xf numFmtId="174" fontId="0" fillId="0" borderId="0" xfId="0" applyNumberFormat="1"/>
    <xf numFmtId="175" fontId="0" fillId="2" borderId="0" xfId="0" applyNumberFormat="1" applyFill="1"/>
    <xf numFmtId="176" fontId="4" fillId="0" borderId="0" xfId="0" applyNumberFormat="1" applyFont="1"/>
    <xf numFmtId="164" fontId="0" fillId="0" borderId="0" xfId="0" applyNumberFormat="1" applyFont="1"/>
    <xf numFmtId="176" fontId="0" fillId="0" borderId="0" xfId="0" applyNumberFormat="1"/>
    <xf numFmtId="177" fontId="0" fillId="0" borderId="0" xfId="0" applyNumberFormat="1"/>
    <xf numFmtId="3" fontId="0" fillId="0" borderId="0" xfId="0" applyNumberFormat="1" applyFont="1"/>
    <xf numFmtId="9" fontId="0" fillId="0" borderId="0" xfId="0" applyNumberFormat="1" applyFont="1"/>
    <xf numFmtId="178" fontId="0" fillId="0" borderId="0" xfId="0" applyNumberFormat="1"/>
    <xf numFmtId="165" fontId="0" fillId="0" borderId="0" xfId="0" applyNumberFormat="1" applyFont="1"/>
    <xf numFmtId="178" fontId="0" fillId="0" borderId="0" xfId="0" applyNumberFormat="1" applyFont="1"/>
    <xf numFmtId="179" fontId="0" fillId="0" borderId="0" xfId="0" applyNumberFormat="1" applyFont="1"/>
    <xf numFmtId="180" fontId="0" fillId="0" borderId="0" xfId="0" applyNumberFormat="1" applyFont="1"/>
    <xf numFmtId="0" fontId="4" fillId="0" borderId="0" xfId="0" applyFont="1" applyAlignment="1">
      <alignment wrapText="1"/>
    </xf>
    <xf numFmtId="181" fontId="0" fillId="0" borderId="0" xfId="0" applyNumberFormat="1"/>
    <xf numFmtId="2" fontId="0" fillId="0" borderId="0" xfId="0" applyNumberFormat="1" applyFont="1"/>
    <xf numFmtId="182" fontId="0" fillId="0" borderId="0" xfId="0" applyNumberFormat="1" applyFont="1"/>
    <xf numFmtId="176" fontId="0" fillId="0" borderId="0" xfId="0" applyNumberFormat="1" applyFont="1"/>
    <xf numFmtId="0" fontId="0" fillId="0" borderId="0" xfId="0" applyFont="1" applyAlignment="1">
      <alignment horizontal="center"/>
    </xf>
    <xf numFmtId="166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71" fontId="0" fillId="0" borderId="0" xfId="0" applyNumberFormat="1" applyFont="1"/>
    <xf numFmtId="164" fontId="4" fillId="0" borderId="0" xfId="0" applyNumberFormat="1" applyFont="1"/>
    <xf numFmtId="184" fontId="0" fillId="0" borderId="0" xfId="0" applyNumberFormat="1"/>
    <xf numFmtId="184" fontId="4" fillId="0" borderId="0" xfId="0" applyNumberFormat="1" applyFont="1"/>
    <xf numFmtId="3" fontId="0" fillId="0" borderId="0" xfId="0" applyNumberFormat="1" applyAlignment="1">
      <alignment horizontal="right"/>
    </xf>
    <xf numFmtId="184" fontId="0" fillId="0" borderId="0" xfId="0" applyNumberFormat="1" applyFont="1"/>
    <xf numFmtId="184" fontId="0" fillId="0" borderId="0" xfId="0" applyNumberFormat="1" applyBorder="1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0" fontId="0" fillId="0" borderId="4" xfId="0" applyBorder="1"/>
    <xf numFmtId="0" fontId="0" fillId="0" borderId="3" xfId="0" applyFont="1" applyBorder="1"/>
    <xf numFmtId="184" fontId="0" fillId="0" borderId="4" xfId="0" applyNumberFormat="1" applyBorder="1"/>
    <xf numFmtId="164" fontId="0" fillId="0" borderId="4" xfId="0" applyNumberFormat="1" applyBorder="1"/>
    <xf numFmtId="3" fontId="0" fillId="0" borderId="4" xfId="0" applyNumberFormat="1" applyBorder="1"/>
    <xf numFmtId="0" fontId="4" fillId="0" borderId="5" xfId="0" applyFont="1" applyBorder="1"/>
    <xf numFmtId="184" fontId="0" fillId="0" borderId="6" xfId="0" applyNumberFormat="1" applyBorder="1"/>
    <xf numFmtId="0" fontId="4" fillId="0" borderId="0" xfId="0" applyFont="1" applyBorder="1"/>
    <xf numFmtId="0" fontId="0" fillId="0" borderId="0" xfId="0" applyBorder="1"/>
    <xf numFmtId="0" fontId="0" fillId="0" borderId="0" xfId="0" applyFont="1" applyBorder="1"/>
    <xf numFmtId="164" fontId="0" fillId="0" borderId="0" xfId="0" applyNumberFormat="1" applyBorder="1"/>
    <xf numFmtId="3" fontId="0" fillId="0" borderId="0" xfId="0" applyNumberFormat="1" applyBorder="1"/>
    <xf numFmtId="3" fontId="4" fillId="5" borderId="0" xfId="0" applyNumberFormat="1" applyFont="1" applyFill="1"/>
    <xf numFmtId="0" fontId="0" fillId="6" borderId="0" xfId="0" applyFill="1"/>
    <xf numFmtId="165" fontId="0" fillId="6" borderId="0" xfId="0" applyNumberFormat="1" applyFill="1"/>
    <xf numFmtId="0" fontId="0" fillId="7" borderId="0" xfId="0" applyFill="1"/>
    <xf numFmtId="165" fontId="0" fillId="7" borderId="0" xfId="0" applyNumberFormat="1" applyFill="1"/>
    <xf numFmtId="0" fontId="0" fillId="8" borderId="0" xfId="0" applyFill="1"/>
    <xf numFmtId="165" fontId="0" fillId="8" borderId="0" xfId="0" applyNumberFormat="1" applyFill="1"/>
    <xf numFmtId="0" fontId="15" fillId="0" borderId="0" xfId="1" applyFont="1"/>
    <xf numFmtId="0" fontId="12" fillId="0" borderId="0" xfId="0" applyFont="1"/>
    <xf numFmtId="0" fontId="16" fillId="0" borderId="0" xfId="1" applyFont="1"/>
    <xf numFmtId="3" fontId="16" fillId="0" borderId="0" xfId="1" applyNumberFormat="1" applyFont="1"/>
    <xf numFmtId="184" fontId="16" fillId="0" borderId="0" xfId="1" applyNumberFormat="1" applyFont="1"/>
    <xf numFmtId="164" fontId="15" fillId="0" borderId="0" xfId="1" applyNumberFormat="1" applyFont="1"/>
    <xf numFmtId="0" fontId="17" fillId="0" borderId="0" xfId="0" applyFont="1"/>
    <xf numFmtId="0" fontId="18" fillId="0" borderId="0" xfId="0" applyFont="1"/>
    <xf numFmtId="184" fontId="19" fillId="0" borderId="0" xfId="2" applyNumberFormat="1" applyFont="1" applyFill="1" applyBorder="1" applyAlignment="1" applyProtection="1"/>
    <xf numFmtId="184" fontId="18" fillId="0" borderId="0" xfId="0" applyNumberFormat="1" applyFont="1"/>
    <xf numFmtId="3" fontId="18" fillId="0" borderId="0" xfId="0" applyNumberFormat="1" applyFont="1"/>
    <xf numFmtId="184" fontId="0" fillId="0" borderId="0" xfId="0" applyNumberFormat="1" applyAlignment="1">
      <alignment horizontal="left"/>
    </xf>
    <xf numFmtId="0" fontId="18" fillId="0" borderId="0" xfId="0" applyNumberFormat="1" applyFont="1"/>
    <xf numFmtId="10" fontId="18" fillId="0" borderId="0" xfId="0" applyNumberFormat="1" applyFont="1"/>
    <xf numFmtId="4" fontId="18" fillId="0" borderId="0" xfId="0" applyNumberFormat="1" applyFont="1"/>
    <xf numFmtId="37" fontId="18" fillId="0" borderId="0" xfId="0" applyNumberFormat="1" applyFont="1"/>
    <xf numFmtId="165" fontId="19" fillId="0" borderId="0" xfId="2" applyNumberFormat="1" applyFont="1" applyFill="1" applyBorder="1" applyAlignment="1" applyProtection="1"/>
    <xf numFmtId="165" fontId="0" fillId="9" borderId="0" xfId="0" applyNumberFormat="1" applyFill="1"/>
    <xf numFmtId="0" fontId="0" fillId="0" borderId="0" xfId="0" applyFill="1"/>
    <xf numFmtId="165" fontId="0" fillId="0" borderId="0" xfId="0" applyNumberFormat="1" applyFill="1"/>
    <xf numFmtId="3" fontId="0" fillId="6" borderId="0" xfId="0" applyNumberFormat="1" applyFill="1"/>
    <xf numFmtId="9" fontId="0" fillId="0" borderId="0" xfId="0" applyNumberFormat="1" applyFill="1"/>
    <xf numFmtId="4" fontId="16" fillId="0" borderId="0" xfId="1" applyNumberFormat="1" applyFont="1"/>
    <xf numFmtId="10" fontId="0" fillId="9" borderId="0" xfId="0" applyNumberFormat="1" applyFill="1"/>
    <xf numFmtId="3" fontId="0" fillId="9" borderId="0" xfId="0" applyNumberFormat="1" applyFill="1"/>
    <xf numFmtId="186" fontId="0" fillId="7" borderId="0" xfId="0" applyNumberFormat="1" applyFill="1"/>
    <xf numFmtId="186" fontId="0" fillId="0" borderId="0" xfId="0" applyNumberFormat="1"/>
    <xf numFmtId="0" fontId="0" fillId="10" borderId="0" xfId="0" applyFill="1"/>
    <xf numFmtId="165" fontId="0" fillId="10" borderId="0" xfId="0" applyNumberFormat="1" applyFill="1"/>
    <xf numFmtId="187" fontId="0" fillId="10" borderId="0" xfId="0" applyNumberFormat="1" applyFill="1"/>
    <xf numFmtId="4" fontId="20" fillId="0" borderId="0" xfId="0" applyNumberFormat="1" applyFont="1"/>
    <xf numFmtId="4" fontId="19" fillId="0" borderId="0" xfId="2" applyNumberFormat="1" applyFont="1" applyFill="1" applyBorder="1" applyAlignment="1" applyProtection="1"/>
    <xf numFmtId="187" fontId="0" fillId="11" borderId="0" xfId="0" applyNumberFormat="1" applyFill="1"/>
    <xf numFmtId="0" fontId="0" fillId="11" borderId="0" xfId="0" applyFill="1"/>
    <xf numFmtId="3" fontId="0" fillId="11" borderId="0" xfId="0" applyNumberFormat="1" applyFill="1"/>
    <xf numFmtId="165" fontId="0" fillId="11" borderId="0" xfId="0" applyNumberFormat="1" applyFill="1"/>
    <xf numFmtId="187" fontId="0" fillId="0" borderId="0" xfId="0" applyNumberFormat="1"/>
    <xf numFmtId="9" fontId="18" fillId="12" borderId="0" xfId="0" applyNumberFormat="1" applyFont="1" applyFill="1"/>
    <xf numFmtId="0" fontId="0" fillId="13" borderId="0" xfId="0" applyFill="1"/>
    <xf numFmtId="186" fontId="0" fillId="11" borderId="0" xfId="0" applyNumberFormat="1" applyFill="1"/>
    <xf numFmtId="186" fontId="0" fillId="6" borderId="0" xfId="0" applyNumberFormat="1" applyFill="1"/>
    <xf numFmtId="188" fontId="0" fillId="0" borderId="0" xfId="0" applyNumberFormat="1"/>
    <xf numFmtId="0" fontId="0" fillId="11" borderId="0" xfId="0" applyFont="1" applyFill="1"/>
    <xf numFmtId="0" fontId="0" fillId="14" borderId="0" xfId="0" applyFill="1"/>
    <xf numFmtId="187" fontId="0" fillId="14" borderId="0" xfId="0" applyNumberFormat="1" applyFill="1"/>
    <xf numFmtId="165" fontId="0" fillId="14" borderId="0" xfId="0" applyNumberFormat="1" applyFill="1"/>
    <xf numFmtId="0" fontId="0" fillId="0" borderId="0" xfId="0" applyFont="1" applyFill="1"/>
    <xf numFmtId="187" fontId="0" fillId="0" borderId="0" xfId="0" applyNumberFormat="1" applyFill="1"/>
    <xf numFmtId="0" fontId="0" fillId="14" borderId="0" xfId="0" applyFont="1" applyFill="1"/>
    <xf numFmtId="0" fontId="0" fillId="15" borderId="0" xfId="0" applyFont="1" applyFill="1"/>
    <xf numFmtId="187" fontId="0" fillId="15" borderId="0" xfId="0" applyNumberFormat="1" applyFill="1"/>
    <xf numFmtId="165" fontId="0" fillId="15" borderId="0" xfId="0" applyNumberFormat="1" applyFill="1"/>
    <xf numFmtId="0" fontId="0" fillId="15" borderId="0" xfId="0" applyFill="1"/>
    <xf numFmtId="0" fontId="3" fillId="0" borderId="0" xfId="3"/>
    <xf numFmtId="0" fontId="3" fillId="8" borderId="0" xfId="3" applyFill="1"/>
    <xf numFmtId="4" fontId="3" fillId="0" borderId="0" xfId="3" applyNumberFormat="1"/>
    <xf numFmtId="4" fontId="3" fillId="8" borderId="0" xfId="3" applyNumberFormat="1" applyFill="1"/>
    <xf numFmtId="4" fontId="3" fillId="0" borderId="0" xfId="3" applyNumberFormat="1" applyFill="1"/>
    <xf numFmtId="3" fontId="3" fillId="0" borderId="0" xfId="3" applyNumberFormat="1"/>
    <xf numFmtId="10" fontId="3" fillId="0" borderId="0" xfId="3" applyNumberFormat="1" applyFill="1"/>
    <xf numFmtId="189" fontId="0" fillId="0" borderId="0" xfId="0" applyNumberFormat="1"/>
    <xf numFmtId="0" fontId="0" fillId="0" borderId="0" xfId="0" applyAlignment="1">
      <alignment horizontal="center"/>
    </xf>
    <xf numFmtId="0" fontId="0" fillId="16" borderId="0" xfId="0" applyFont="1" applyFill="1"/>
    <xf numFmtId="187" fontId="0" fillId="16" borderId="0" xfId="0" applyNumberFormat="1" applyFill="1"/>
    <xf numFmtId="165" fontId="0" fillId="16" borderId="0" xfId="0" applyNumberFormat="1" applyFill="1"/>
    <xf numFmtId="0" fontId="0" fillId="16" borderId="0" xfId="0" applyFill="1"/>
    <xf numFmtId="0" fontId="2" fillId="0" borderId="0" xfId="3" applyFont="1"/>
    <xf numFmtId="166" fontId="18" fillId="0" borderId="0" xfId="0" applyNumberFormat="1" applyFont="1"/>
    <xf numFmtId="0" fontId="1" fillId="0" borderId="0" xfId="3" applyFont="1"/>
    <xf numFmtId="166" fontId="3" fillId="0" borderId="0" xfId="3" applyNumberFormat="1"/>
    <xf numFmtId="177" fontId="0" fillId="7" borderId="0" xfId="0" applyNumberFormat="1" applyFill="1"/>
    <xf numFmtId="177" fontId="0" fillId="14" borderId="0" xfId="0" applyNumberFormat="1" applyFill="1"/>
    <xf numFmtId="177" fontId="0" fillId="8" borderId="0" xfId="0" applyNumberFormat="1" applyFill="1"/>
    <xf numFmtId="177" fontId="0" fillId="11" borderId="0" xfId="0" applyNumberFormat="1" applyFill="1"/>
    <xf numFmtId="177" fontId="0" fillId="0" borderId="0" xfId="0" applyNumberFormat="1" applyFill="1"/>
    <xf numFmtId="177" fontId="0" fillId="0" borderId="0" xfId="0" applyNumberFormat="1" applyFont="1"/>
    <xf numFmtId="177" fontId="0" fillId="11" borderId="0" xfId="0" applyNumberFormat="1" applyFont="1" applyFill="1"/>
    <xf numFmtId="177" fontId="0" fillId="6" borderId="0" xfId="0" applyNumberFormat="1" applyFill="1"/>
    <xf numFmtId="177" fontId="0" fillId="10" borderId="0" xfId="0" applyNumberFormat="1" applyFill="1"/>
    <xf numFmtId="177" fontId="0" fillId="0" borderId="0" xfId="0" applyNumberFormat="1" applyFont="1" applyFill="1"/>
    <xf numFmtId="177" fontId="0" fillId="14" borderId="0" xfId="0" applyNumberFormat="1" applyFont="1" applyFill="1"/>
    <xf numFmtId="177" fontId="0" fillId="16" borderId="0" xfId="0" applyNumberFormat="1" applyFont="1" applyFill="1"/>
    <xf numFmtId="177" fontId="0" fillId="15" borderId="0" xfId="0" applyNumberFormat="1" applyFont="1" applyFill="1"/>
    <xf numFmtId="177" fontId="0" fillId="16" borderId="0" xfId="0" applyNumberFormat="1" applyFill="1"/>
    <xf numFmtId="3" fontId="0" fillId="16" borderId="0" xfId="0" applyNumberFormat="1" applyFill="1"/>
    <xf numFmtId="190" fontId="0" fillId="0" borderId="0" xfId="0" applyNumberForma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176" fontId="4" fillId="0" borderId="0" xfId="0" applyNumberFormat="1" applyFont="1" applyProtection="1">
      <protection locked="0"/>
    </xf>
    <xf numFmtId="177" fontId="0" fillId="0" borderId="0" xfId="0" applyNumberFormat="1" applyProtection="1">
      <protection locked="0"/>
    </xf>
    <xf numFmtId="165" fontId="0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186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3" fontId="0" fillId="0" borderId="0" xfId="0" applyNumberFormat="1" applyFont="1" applyProtection="1">
      <protection locked="0"/>
    </xf>
    <xf numFmtId="166" fontId="0" fillId="0" borderId="0" xfId="0" applyNumberFormat="1" applyProtection="1">
      <protection locked="0"/>
    </xf>
    <xf numFmtId="2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80" fontId="0" fillId="0" borderId="0" xfId="0" applyNumberFormat="1" applyFont="1" applyProtection="1">
      <protection locked="0"/>
    </xf>
    <xf numFmtId="178" fontId="0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0" xfId="0" applyFont="1" applyAlignment="1" applyProtection="1">
      <protection locked="0"/>
    </xf>
    <xf numFmtId="188" fontId="0" fillId="0" borderId="0" xfId="0" applyNumberFormat="1" applyFont="1" applyProtection="1">
      <protection locked="0"/>
    </xf>
    <xf numFmtId="186" fontId="0" fillId="11" borderId="0" xfId="0" applyNumberFormat="1" applyFont="1" applyFill="1"/>
    <xf numFmtId="0" fontId="0" fillId="6" borderId="0" xfId="0" applyFont="1" applyFill="1"/>
    <xf numFmtId="186" fontId="0" fillId="6" borderId="0" xfId="0" applyNumberFormat="1" applyFont="1" applyFill="1"/>
    <xf numFmtId="3" fontId="0" fillId="13" borderId="0" xfId="0" applyNumberFormat="1" applyFill="1"/>
    <xf numFmtId="177" fontId="0" fillId="13" borderId="0" xfId="0" applyNumberFormat="1" applyFill="1"/>
    <xf numFmtId="186" fontId="0" fillId="17" borderId="0" xfId="0" applyNumberFormat="1" applyFill="1"/>
    <xf numFmtId="3" fontId="0" fillId="0" borderId="0" xfId="0" applyNumberFormat="1" applyFill="1"/>
    <xf numFmtId="0" fontId="4" fillId="0" borderId="0" xfId="0" applyFont="1" applyFill="1"/>
    <xf numFmtId="0" fontId="0" fillId="18" borderId="0" xfId="0" applyFill="1"/>
    <xf numFmtId="177" fontId="0" fillId="18" borderId="0" xfId="0" applyNumberFormat="1" applyFill="1"/>
    <xf numFmtId="3" fontId="0" fillId="18" borderId="0" xfId="0" applyNumberFormat="1" applyFill="1"/>
    <xf numFmtId="0" fontId="0" fillId="10" borderId="0" xfId="0" applyFont="1" applyFill="1"/>
    <xf numFmtId="186" fontId="0" fillId="10" borderId="0" xfId="0" applyNumberFormat="1" applyFont="1" applyFill="1"/>
    <xf numFmtId="3" fontId="0" fillId="10" borderId="0" xfId="0" applyNumberFormat="1" applyFill="1"/>
    <xf numFmtId="177" fontId="0" fillId="10" borderId="0" xfId="0" applyNumberFormat="1" applyFont="1" applyFill="1"/>
    <xf numFmtId="8" fontId="0" fillId="6" borderId="0" xfId="0" applyNumberFormat="1" applyFill="1"/>
    <xf numFmtId="0" fontId="0" fillId="12" borderId="0" xfId="0" applyFill="1"/>
    <xf numFmtId="0" fontId="0" fillId="19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2" borderId="0" xfId="0" applyNumberFormat="1" applyFill="1"/>
    <xf numFmtId="3" fontId="0" fillId="20" borderId="0" xfId="0" applyNumberFormat="1" applyFill="1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</cellXfs>
  <cellStyles count="4">
    <cellStyle name="Currency 2" xfId="2"/>
    <cellStyle name="Excel Built-in Normal" xfId="1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66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Water Import Salt Extraction Revenue, Long Term Financial Estimates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43920766130428"/>
          <c:y val="6.7029436112661961E-2"/>
          <c:w val="0.86327746388865179"/>
          <c:h val="0.714545944593111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'Annual Cost &amp; Revenue 20 MGD'!$A$130</c:f>
              <c:strCache>
                <c:ptCount val="1"/>
                <c:pt idx="0">
                  <c:v>Total Capital Costs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MGD'!$C$130:$BH$130</c:f>
              <c:numCache>
                <c:formatCode>[$$-409]#,##0.00;[Red]\-[$$-409]#,##0.00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51156410.580740981</c:v>
                </c:pt>
                <c:pt idx="3">
                  <c:v>251800101.16148198</c:v>
                </c:pt>
                <c:pt idx="4">
                  <c:v>291346510.10082674</c:v>
                </c:pt>
                <c:pt idx="5">
                  <c:v>330902006.79424888</c:v>
                </c:pt>
                <c:pt idx="6">
                  <c:v>368544136.65896887</c:v>
                </c:pt>
                <c:pt idx="7">
                  <c:v>406186266.52368873</c:v>
                </c:pt>
                <c:pt idx="8">
                  <c:v>444381347.15594059</c:v>
                </c:pt>
                <c:pt idx="9">
                  <c:v>486131694.74047685</c:v>
                </c:pt>
                <c:pt idx="10">
                  <c:v>505742534.72877878</c:v>
                </c:pt>
                <c:pt idx="11">
                  <c:v>500687375.84021068</c:v>
                </c:pt>
                <c:pt idx="12">
                  <c:v>339561838.60022157</c:v>
                </c:pt>
                <c:pt idx="13">
                  <c:v>342863814.35554039</c:v>
                </c:pt>
                <c:pt idx="14">
                  <c:v>343426929.34332734</c:v>
                </c:pt>
                <c:pt idx="15">
                  <c:v>348642271.92734849</c:v>
                </c:pt>
                <c:pt idx="16">
                  <c:v>349205386.91513538</c:v>
                </c:pt>
                <c:pt idx="17">
                  <c:v>354420729.49915653</c:v>
                </c:pt>
                <c:pt idx="18">
                  <c:v>357722705.25447541</c:v>
                </c:pt>
                <c:pt idx="19">
                  <c:v>361024681.00979424</c:v>
                </c:pt>
                <c:pt idx="20">
                  <c:v>361587795.99758118</c:v>
                </c:pt>
                <c:pt idx="21">
                  <c:v>366803138.58160233</c:v>
                </c:pt>
                <c:pt idx="22">
                  <c:v>370105114.33692122</c:v>
                </c:pt>
                <c:pt idx="23">
                  <c:v>373407090.0922401</c:v>
                </c:pt>
                <c:pt idx="24">
                  <c:v>376709065.84755892</c:v>
                </c:pt>
                <c:pt idx="25">
                  <c:v>377272180.83534592</c:v>
                </c:pt>
                <c:pt idx="26">
                  <c:v>382487523.41936707</c:v>
                </c:pt>
                <c:pt idx="27">
                  <c:v>385789499.1746859</c:v>
                </c:pt>
                <c:pt idx="28">
                  <c:v>389091474.93000478</c:v>
                </c:pt>
                <c:pt idx="29">
                  <c:v>392393450.68532366</c:v>
                </c:pt>
                <c:pt idx="30">
                  <c:v>395695426.4406426</c:v>
                </c:pt>
                <c:pt idx="31">
                  <c:v>398997402.19596142</c:v>
                </c:pt>
                <c:pt idx="32">
                  <c:v>405038238.71881235</c:v>
                </c:pt>
                <c:pt idx="33">
                  <c:v>406426847.64542896</c:v>
                </c:pt>
                <c:pt idx="34">
                  <c:v>409728823.4007479</c:v>
                </c:pt>
                <c:pt idx="35">
                  <c:v>413030799.15606666</c:v>
                </c:pt>
                <c:pt idx="36">
                  <c:v>391968248.09842211</c:v>
                </c:pt>
                <c:pt idx="37">
                  <c:v>394764220.69363397</c:v>
                </c:pt>
                <c:pt idx="38">
                  <c:v>398259186.43764883</c:v>
                </c:pt>
                <c:pt idx="39">
                  <c:v>401055159.0328607</c:v>
                </c:pt>
                <c:pt idx="40">
                  <c:v>403851131.62807256</c:v>
                </c:pt>
                <c:pt idx="41">
                  <c:v>407346097.37208742</c:v>
                </c:pt>
                <c:pt idx="42">
                  <c:v>410142069.96729928</c:v>
                </c:pt>
                <c:pt idx="43">
                  <c:v>412938042.56251115</c:v>
                </c:pt>
                <c:pt idx="44">
                  <c:v>416433008.30652601</c:v>
                </c:pt>
                <c:pt idx="45">
                  <c:v>419228980.90173787</c:v>
                </c:pt>
                <c:pt idx="46">
                  <c:v>422723946.64575267</c:v>
                </c:pt>
                <c:pt idx="47">
                  <c:v>426218912.38976759</c:v>
                </c:pt>
                <c:pt idx="48">
                  <c:v>429014884.98497939</c:v>
                </c:pt>
                <c:pt idx="49">
                  <c:v>432509850.72899425</c:v>
                </c:pt>
                <c:pt idx="50">
                  <c:v>435305823.32420611</c:v>
                </c:pt>
                <c:pt idx="51">
                  <c:v>438800789.06822103</c:v>
                </c:pt>
                <c:pt idx="52">
                  <c:v>442295754.81223583</c:v>
                </c:pt>
                <c:pt idx="53">
                  <c:v>445790720.55625069</c:v>
                </c:pt>
                <c:pt idx="54">
                  <c:v>448586693.15146255</c:v>
                </c:pt>
                <c:pt idx="55">
                  <c:v>452081658.89547735</c:v>
                </c:pt>
                <c:pt idx="56">
                  <c:v>455576624.63949227</c:v>
                </c:pt>
                <c:pt idx="57">
                  <c:v>459071590.38350701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'Annual Cost &amp; Revenue 20 MGD'!$A$134</c:f>
              <c:strCache>
                <c:ptCount val="1"/>
                <c:pt idx="0">
                  <c:v>Total Operating Costs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MGD'!$C$134:$BH$134</c:f>
              <c:numCache>
                <c:formatCode>[$$-409]#,##0.00;[Red]\-[$$-409]#,##0.00</c:formatCode>
                <c:ptCount val="58"/>
                <c:pt idx="0">
                  <c:v>2371160</c:v>
                </c:pt>
                <c:pt idx="1">
                  <c:v>2371160</c:v>
                </c:pt>
                <c:pt idx="2">
                  <c:v>2371160</c:v>
                </c:pt>
                <c:pt idx="3">
                  <c:v>2371160</c:v>
                </c:pt>
                <c:pt idx="4">
                  <c:v>76120408.182494089</c:v>
                </c:pt>
                <c:pt idx="5">
                  <c:v>154990045.02470696</c:v>
                </c:pt>
                <c:pt idx="6">
                  <c:v>233776686.77356607</c:v>
                </c:pt>
                <c:pt idx="7">
                  <c:v>314741668.70973718</c:v>
                </c:pt>
                <c:pt idx="8">
                  <c:v>396546990.8332206</c:v>
                </c:pt>
                <c:pt idx="9">
                  <c:v>475327269.39094341</c:v>
                </c:pt>
                <c:pt idx="10">
                  <c:v>717395169.04409611</c:v>
                </c:pt>
                <c:pt idx="11">
                  <c:v>763534199.7252301</c:v>
                </c:pt>
                <c:pt idx="12">
                  <c:v>810960851.50179434</c:v>
                </c:pt>
                <c:pt idx="13">
                  <c:v>820313036.82007444</c:v>
                </c:pt>
                <c:pt idx="14">
                  <c:v>829730454.51592207</c:v>
                </c:pt>
                <c:pt idx="15">
                  <c:v>757782131.77561092</c:v>
                </c:pt>
                <c:pt idx="16">
                  <c:v>767313706.13220167</c:v>
                </c:pt>
                <c:pt idx="17">
                  <c:v>776479540.05263376</c:v>
                </c:pt>
                <c:pt idx="18">
                  <c:v>786125271.06996715</c:v>
                </c:pt>
                <c:pt idx="19">
                  <c:v>795836234.46486819</c:v>
                </c:pt>
                <c:pt idx="20">
                  <c:v>805612430.23733652</c:v>
                </c:pt>
                <c:pt idx="21">
                  <c:v>815022885.57364619</c:v>
                </c:pt>
                <c:pt idx="22">
                  <c:v>824913238.00685763</c:v>
                </c:pt>
                <c:pt idx="23">
                  <c:v>834868822.81763637</c:v>
                </c:pt>
                <c:pt idx="24">
                  <c:v>853889640.00598252</c:v>
                </c:pt>
                <c:pt idx="25">
                  <c:v>863975689.57189608</c:v>
                </c:pt>
                <c:pt idx="26">
                  <c:v>873695998.7016511</c:v>
                </c:pt>
                <c:pt idx="27">
                  <c:v>883896204.92830777</c:v>
                </c:pt>
                <c:pt idx="28">
                  <c:v>894161643.53253162</c:v>
                </c:pt>
                <c:pt idx="29">
                  <c:v>904492314.514323</c:v>
                </c:pt>
                <c:pt idx="30">
                  <c:v>914888217.87368202</c:v>
                </c:pt>
                <c:pt idx="31">
                  <c:v>925349353.6106081</c:v>
                </c:pt>
                <c:pt idx="32">
                  <c:v>935875721.72510171</c:v>
                </c:pt>
                <c:pt idx="33">
                  <c:v>946898295.0308888</c:v>
                </c:pt>
                <c:pt idx="34">
                  <c:v>957571435.99490905</c:v>
                </c:pt>
                <c:pt idx="35">
                  <c:v>968309809.33649683</c:v>
                </c:pt>
                <c:pt idx="36">
                  <c:v>979113415.05565202</c:v>
                </c:pt>
                <c:pt idx="37">
                  <c:v>989982253.15237451</c:v>
                </c:pt>
                <c:pt idx="38">
                  <c:v>1001347296.4403903</c:v>
                </c:pt>
                <c:pt idx="39">
                  <c:v>1012362907.3866396</c:v>
                </c:pt>
                <c:pt idx="40">
                  <c:v>1023443750.7104564</c:v>
                </c:pt>
                <c:pt idx="41">
                  <c:v>1035020799.2255663</c:v>
                </c:pt>
                <c:pt idx="42">
                  <c:v>1046248415.3989097</c:v>
                </c:pt>
                <c:pt idx="43">
                  <c:v>1057541263.9498205</c:v>
                </c:pt>
                <c:pt idx="44">
                  <c:v>1069330317.6920247</c:v>
                </c:pt>
                <c:pt idx="45">
                  <c:v>1080769939.0924621</c:v>
                </c:pt>
                <c:pt idx="46">
                  <c:v>1092705765.6841929</c:v>
                </c:pt>
                <c:pt idx="47">
                  <c:v>1104723132.7478831</c:v>
                </c:pt>
                <c:pt idx="48">
                  <c:v>1116391067.4698062</c:v>
                </c:pt>
                <c:pt idx="49">
                  <c:v>1128555207.383023</c:v>
                </c:pt>
                <c:pt idx="50">
                  <c:v>1140369914.954473</c:v>
                </c:pt>
                <c:pt idx="51">
                  <c:v>1152680827.7172167</c:v>
                </c:pt>
                <c:pt idx="52">
                  <c:v>1165073280.9519193</c:v>
                </c:pt>
                <c:pt idx="53">
                  <c:v>1177547274.6585813</c:v>
                </c:pt>
                <c:pt idx="54">
                  <c:v>1189671836.0234768</c:v>
                </c:pt>
                <c:pt idx="55">
                  <c:v>1202292602.5796654</c:v>
                </c:pt>
                <c:pt idx="56">
                  <c:v>1214994909.6078134</c:v>
                </c:pt>
                <c:pt idx="57">
                  <c:v>1227778757.1079206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'Annual Cost &amp; Revenue 20 MGD'!$A$129</c:f>
              <c:strCache>
                <c:ptCount val="1"/>
                <c:pt idx="0">
                  <c:v>Total Revenue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MGD'!$C$129:$BH$129</c:f>
              <c:numCache>
                <c:formatCode>[$$-409]#,##0.00;[Red]\-[$$-409]#,##0.00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187125617.36258197</c:v>
                </c:pt>
                <c:pt idx="5">
                  <c:v>393503451.11104238</c:v>
                </c:pt>
                <c:pt idx="6">
                  <c:v>612873330.65604091</c:v>
                </c:pt>
                <c:pt idx="7">
                  <c:v>842618642.81294763</c:v>
                </c:pt>
                <c:pt idx="8">
                  <c:v>1082739387.5817623</c:v>
                </c:pt>
                <c:pt idx="9">
                  <c:v>1326419857.8475308</c:v>
                </c:pt>
                <c:pt idx="10">
                  <c:v>1583402343.4944117</c:v>
                </c:pt>
                <c:pt idx="11">
                  <c:v>1767655259.6289566</c:v>
                </c:pt>
                <c:pt idx="12">
                  <c:v>1963373080.960871</c:v>
                </c:pt>
                <c:pt idx="13">
                  <c:v>2029951261.2817395</c:v>
                </c:pt>
                <c:pt idx="14">
                  <c:v>2097164059.0067265</c:v>
                </c:pt>
                <c:pt idx="15">
                  <c:v>2161702687.4270134</c:v>
                </c:pt>
                <c:pt idx="16">
                  <c:v>2230085345.5173359</c:v>
                </c:pt>
                <c:pt idx="17">
                  <c:v>2295675274.4867015</c:v>
                </c:pt>
                <c:pt idx="18">
                  <c:v>2365227792.9423599</c:v>
                </c:pt>
                <c:pt idx="19">
                  <c:v>2435414928.8021369</c:v>
                </c:pt>
                <c:pt idx="20">
                  <c:v>2506236682.0660319</c:v>
                </c:pt>
                <c:pt idx="21">
                  <c:v>2574028586.5764551</c:v>
                </c:pt>
                <c:pt idx="22">
                  <c:v>2646020200.2056866</c:v>
                </c:pt>
                <c:pt idx="23">
                  <c:v>2718646431.2390361</c:v>
                </c:pt>
                <c:pt idx="24">
                  <c:v>2791907279.6765037</c:v>
                </c:pt>
                <c:pt idx="25">
                  <c:v>2865802745.5180902</c:v>
                </c:pt>
                <c:pt idx="26">
                  <c:v>2936371963.0655603</c:v>
                </c:pt>
                <c:pt idx="27">
                  <c:v>3011437289.2724824</c:v>
                </c:pt>
                <c:pt idx="28">
                  <c:v>3087137232.883523</c:v>
                </c:pt>
                <c:pt idx="29">
                  <c:v>3163471793.8986816</c:v>
                </c:pt>
                <c:pt idx="30">
                  <c:v>3240440972.3179588</c:v>
                </c:pt>
                <c:pt idx="31">
                  <c:v>3318044768.1413546</c:v>
                </c:pt>
                <c:pt idx="32">
                  <c:v>3396283181.3688679</c:v>
                </c:pt>
                <c:pt idx="33">
                  <c:v>3479532037.0556355</c:v>
                </c:pt>
                <c:pt idx="34">
                  <c:v>3559139059.5342875</c:v>
                </c:pt>
                <c:pt idx="35">
                  <c:v>3639380699.417057</c:v>
                </c:pt>
                <c:pt idx="36">
                  <c:v>3720256956.7039452</c:v>
                </c:pt>
                <c:pt idx="37">
                  <c:v>3801767831.3949518</c:v>
                </c:pt>
                <c:pt idx="38">
                  <c:v>3888585548.085855</c:v>
                </c:pt>
                <c:pt idx="39">
                  <c:v>3971465032.0279994</c:v>
                </c:pt>
                <c:pt idx="40">
                  <c:v>4054979133.3742619</c:v>
                </c:pt>
                <c:pt idx="41">
                  <c:v>4143977916.444808</c:v>
                </c:pt>
                <c:pt idx="42">
                  <c:v>4228860627.0422077</c:v>
                </c:pt>
                <c:pt idx="43">
                  <c:v>4314377955.043726</c:v>
                </c:pt>
                <c:pt idx="44">
                  <c:v>4405557804.4939137</c:v>
                </c:pt>
                <c:pt idx="45">
                  <c:v>4492443741.7465706</c:v>
                </c:pt>
                <c:pt idx="46">
                  <c:v>4585110760.2641535</c:v>
                </c:pt>
                <c:pt idx="47">
                  <c:v>4678571050.5368843</c:v>
                </c:pt>
                <c:pt idx="48">
                  <c:v>4767559588.8876972</c:v>
                </c:pt>
                <c:pt idx="49">
                  <c:v>4862507048.2278223</c:v>
                </c:pt>
                <c:pt idx="50">
                  <c:v>4952864195.8297739</c:v>
                </c:pt>
                <c:pt idx="51">
                  <c:v>5049298824.2372942</c:v>
                </c:pt>
                <c:pt idx="52">
                  <c:v>5146526724.3999643</c:v>
                </c:pt>
                <c:pt idx="53">
                  <c:v>5244547896.3177805</c:v>
                </c:pt>
                <c:pt idx="54">
                  <c:v>5337741636.8649073</c:v>
                </c:pt>
                <c:pt idx="55">
                  <c:v>5437249977.8501196</c:v>
                </c:pt>
                <c:pt idx="56">
                  <c:v>5537551590.5904799</c:v>
                </c:pt>
                <c:pt idx="57">
                  <c:v>5638646475.0859871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'Annual Cost &amp; Revenue 20 MGD'!$A$148</c:f>
              <c:strCache>
                <c:ptCount val="1"/>
                <c:pt idx="0">
                  <c:v>Annual Profit/Loss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MGD'!$C$148:$BH$148</c:f>
              <c:numCache>
                <c:formatCode>"$"#,##0.00_);[Red]\("$"#,##0.00\)</c:formatCode>
                <c:ptCount val="58"/>
                <c:pt idx="0">
                  <c:v>-2739446.7122631748</c:v>
                </c:pt>
                <c:pt idx="1">
                  <c:v>-3072189.0121101821</c:v>
                </c:pt>
                <c:pt idx="2">
                  <c:v>-10769112.340016797</c:v>
                </c:pt>
                <c:pt idx="3">
                  <c:v>-47077321.294205688</c:v>
                </c:pt>
                <c:pt idx="4">
                  <c:v>37204481.643508792</c:v>
                </c:pt>
                <c:pt idx="5">
                  <c:v>145447009.79919589</c:v>
                </c:pt>
                <c:pt idx="6">
                  <c:v>276845948.57342637</c:v>
                </c:pt>
                <c:pt idx="7">
                  <c:v>420944461.85740435</c:v>
                </c:pt>
                <c:pt idx="8">
                  <c:v>570496369.34895146</c:v>
                </c:pt>
                <c:pt idx="9">
                  <c:v>723210223.2476151</c:v>
                </c:pt>
                <c:pt idx="10">
                  <c:v>693140361.45160139</c:v>
                </c:pt>
                <c:pt idx="11">
                  <c:v>815132862.65133512</c:v>
                </c:pt>
                <c:pt idx="12">
                  <c:v>944493828.22165596</c:v>
                </c:pt>
                <c:pt idx="13">
                  <c:v>989077800.88879287</c:v>
                </c:pt>
                <c:pt idx="14">
                  <c:v>1033118587.0911472</c:v>
                </c:pt>
                <c:pt idx="15">
                  <c:v>1176692684.9669635</c:v>
                </c:pt>
                <c:pt idx="16">
                  <c:v>1221262042.8518164</c:v>
                </c:pt>
                <c:pt idx="17">
                  <c:v>1262575701.0038707</c:v>
                </c:pt>
                <c:pt idx="18">
                  <c:v>1306320840.7045076</c:v>
                </c:pt>
                <c:pt idx="19">
                  <c:v>1349726470.068058</c:v>
                </c:pt>
                <c:pt idx="20">
                  <c:v>1392810376.2999573</c:v>
                </c:pt>
                <c:pt idx="21">
                  <c:v>1432519367.035063</c:v>
                </c:pt>
                <c:pt idx="22">
                  <c:v>1474928197.6735821</c:v>
                </c:pt>
                <c:pt idx="23">
                  <c:v>1517044365.1802862</c:v>
                </c:pt>
                <c:pt idx="24">
                  <c:v>1545811905.0714884</c:v>
                </c:pt>
                <c:pt idx="25">
                  <c:v>1587151665.0032473</c:v>
                </c:pt>
                <c:pt idx="26">
                  <c:v>1624878599.4544115</c:v>
                </c:pt>
                <c:pt idx="27">
                  <c:v>1665555882.4129984</c:v>
                </c:pt>
                <c:pt idx="28">
                  <c:v>1705925514.8660064</c:v>
                </c:pt>
                <c:pt idx="29">
                  <c:v>1745978451.3582757</c:v>
                </c:pt>
                <c:pt idx="30">
                  <c:v>1785703960.8153901</c:v>
                </c:pt>
                <c:pt idx="31">
                  <c:v>1825089775.617059</c:v>
                </c:pt>
                <c:pt idx="32">
                  <c:v>1864122221.0837352</c:v>
                </c:pt>
                <c:pt idx="33">
                  <c:v>1906447170.4915447</c:v>
                </c:pt>
                <c:pt idx="34">
                  <c:v>1944787960.2040346</c:v>
                </c:pt>
                <c:pt idx="35">
                  <c:v>1982725978.8062992</c:v>
                </c:pt>
                <c:pt idx="36">
                  <c:v>2020242883.4111638</c:v>
                </c:pt>
                <c:pt idx="37">
                  <c:v>2057319351.4852703</c:v>
                </c:pt>
                <c:pt idx="38">
                  <c:v>2097837119.4859626</c:v>
                </c:pt>
                <c:pt idx="39">
                  <c:v>2134029323.4458127</c:v>
                </c:pt>
                <c:pt idx="40">
                  <c:v>2169716676.7384582</c:v>
                </c:pt>
                <c:pt idx="41">
                  <c:v>2208921013.9767094</c:v>
                </c:pt>
                <c:pt idx="42">
                  <c:v>2243585817.4454155</c:v>
                </c:pt>
                <c:pt idx="43">
                  <c:v>2277673906.0449047</c:v>
                </c:pt>
                <c:pt idx="44">
                  <c:v>2315345847.0367422</c:v>
                </c:pt>
                <c:pt idx="45">
                  <c:v>2348258795.6085501</c:v>
                </c:pt>
                <c:pt idx="46">
                  <c:v>2384795107.9836416</c:v>
                </c:pt>
                <c:pt idx="47">
                  <c:v>2420747973.2604413</c:v>
                </c:pt>
                <c:pt idx="48">
                  <c:v>2451716153.1992745</c:v>
                </c:pt>
                <c:pt idx="49">
                  <c:v>2486359403.313642</c:v>
                </c:pt>
                <c:pt idx="50">
                  <c:v>2515865153.4235744</c:v>
                </c:pt>
                <c:pt idx="51">
                  <c:v>2549076184.3153348</c:v>
                </c:pt>
                <c:pt idx="52">
                  <c:v>2581548142.6770382</c:v>
                </c:pt>
                <c:pt idx="53">
                  <c:v>2613247141.1289067</c:v>
                </c:pt>
                <c:pt idx="54">
                  <c:v>2639495231.2207055</c:v>
                </c:pt>
                <c:pt idx="55">
                  <c:v>2669496346.6539388</c:v>
                </c:pt>
                <c:pt idx="56">
                  <c:v>2698619472.1885872</c:v>
                </c:pt>
                <c:pt idx="57">
                  <c:v>2726827576.150238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'Annual Cost &amp; Revenue 20 MGD'!$A$147</c:f>
              <c:strCache>
                <c:ptCount val="1"/>
                <c:pt idx="0">
                  <c:v>Annual Loan Repayment (monthly installments)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MGD'!$C$147:$BH$147</c:f>
              <c:numCache>
                <c:formatCode>"$"#,##0.00</c:formatCode>
                <c:ptCount val="58"/>
                <c:pt idx="0">
                  <c:v>332719.31226317509</c:v>
                </c:pt>
                <c:pt idx="1">
                  <c:v>629360.70111018268</c:v>
                </c:pt>
                <c:pt idx="2">
                  <c:v>8289641.6043517981</c:v>
                </c:pt>
                <c:pt idx="3">
                  <c:v>44560658.497505717</c:v>
                </c:pt>
                <c:pt idx="4">
                  <c:v>67917837.61492306</c:v>
                </c:pt>
                <c:pt idx="5">
                  <c:v>78583620.601414233</c:v>
                </c:pt>
                <c:pt idx="6">
                  <c:v>76571515.511939615</c:v>
                </c:pt>
                <c:pt idx="7">
                  <c:v>67120024.461388662</c:v>
                </c:pt>
                <c:pt idx="8">
                  <c:v>58835164.141356789</c:v>
                </c:pt>
                <c:pt idx="9">
                  <c:v>51572933.223999269</c:v>
                </c:pt>
                <c:pt idx="10">
                  <c:v>45207104.97104685</c:v>
                </c:pt>
                <c:pt idx="11">
                  <c:v>39627033.253796563</c:v>
                </c:pt>
                <c:pt idx="12">
                  <c:v>34735729.38375964</c:v>
                </c:pt>
                <c:pt idx="13">
                  <c:v>30448176.326855976</c:v>
                </c:pt>
                <c:pt idx="14">
                  <c:v>26689851.000070412</c:v>
                </c:pt>
                <c:pt idx="15">
                  <c:v>23395428.966221951</c:v>
                </c:pt>
                <c:pt idx="16">
                  <c:v>20507649.01280614</c:v>
                </c:pt>
                <c:pt idx="17">
                  <c:v>17976317.879858229</c:v>
                </c:pt>
                <c:pt idx="18">
                  <c:v>15757437.837751107</c:v>
                </c:pt>
                <c:pt idx="19">
                  <c:v>13812441.951129343</c:v>
                </c:pt>
                <c:pt idx="20">
                  <c:v>12107523.73690127</c:v>
                </c:pt>
                <c:pt idx="21">
                  <c:v>10613049.564899128</c:v>
                </c:pt>
                <c:pt idx="22">
                  <c:v>9303043.5879891291</c:v>
                </c:pt>
                <c:pt idx="23">
                  <c:v>8154736.2490668083</c:v>
                </c:pt>
                <c:pt idx="24">
                  <c:v>7148168.5174193904</c:v>
                </c:pt>
                <c:pt idx="25">
                  <c:v>6265844.9755837219</c:v>
                </c:pt>
                <c:pt idx="26">
                  <c:v>5492429.7269115867</c:v>
                </c:pt>
                <c:pt idx="27">
                  <c:v>4814479.8383320635</c:v>
                </c:pt>
                <c:pt idx="28">
                  <c:v>4220211.6852097958</c:v>
                </c:pt>
                <c:pt idx="29">
                  <c:v>3699296.137077915</c:v>
                </c:pt>
                <c:pt idx="30">
                  <c:v>3242679.0243151705</c:v>
                </c:pt>
                <c:pt idx="31">
                  <c:v>2842423.7652515681</c:v>
                </c:pt>
                <c:pt idx="32">
                  <c:v>2491573.4183629854</c:v>
                </c:pt>
                <c:pt idx="33">
                  <c:v>2184029.7618478364</c:v>
                </c:pt>
                <c:pt idx="34">
                  <c:v>1914447.2988362096</c:v>
                </c:pt>
                <c:pt idx="35">
                  <c:v>1678140.3459082576</c:v>
                </c:pt>
                <c:pt idx="36">
                  <c:v>1471001.590003039</c:v>
                </c:pt>
                <c:pt idx="37">
                  <c:v>1289430.6981340901</c:v>
                </c:pt>
                <c:pt idx="38">
                  <c:v>1130271.7390585095</c:v>
                </c:pt>
                <c:pt idx="39">
                  <c:v>990758.32920917193</c:v>
                </c:pt>
                <c:pt idx="40">
                  <c:v>868465.54945716134</c:v>
                </c:pt>
                <c:pt idx="41">
                  <c:v>761267.79695706558</c:v>
                </c:pt>
                <c:pt idx="42">
                  <c:v>667301.83948701376</c:v>
                </c:pt>
                <c:pt idx="43">
                  <c:v>584934.43012126547</c:v>
                </c:pt>
                <c:pt idx="44">
                  <c:v>512733.91933748446</c:v>
                </c:pt>
                <c:pt idx="45">
                  <c:v>449445.37114130182</c:v>
                </c:pt>
                <c:pt idx="46">
                  <c:v>393968.7506950057</c:v>
                </c:pt>
                <c:pt idx="47">
                  <c:v>345339.80432381929</c:v>
                </c:pt>
                <c:pt idx="48">
                  <c:v>302713.29957014695</c:v>
                </c:pt>
                <c:pt idx="49">
                  <c:v>265348.33398677851</c:v>
                </c:pt>
                <c:pt idx="50">
                  <c:v>232595.45731733897</c:v>
                </c:pt>
                <c:pt idx="51">
                  <c:v>203885.38323122737</c:v>
                </c:pt>
                <c:pt idx="52">
                  <c:v>178719.09440875243</c:v>
                </c:pt>
                <c:pt idx="53">
                  <c:v>156659.16899035711</c:v>
                </c:pt>
                <c:pt idx="54">
                  <c:v>137322.17763267359</c:v>
                </c:pt>
                <c:pt idx="55">
                  <c:v>120372.01902264841</c:v>
                </c:pt>
                <c:pt idx="56">
                  <c:v>105514.07801256209</c:v>
                </c:pt>
                <c:pt idx="57">
                  <c:v>92490.104836957878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'Annual Cost &amp; Revenue 20 MGD'!$A$144</c:f>
              <c:strCache>
                <c:ptCount val="1"/>
                <c:pt idx="0">
                  <c:v>Cumulative Private Debt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MGD'!$C$144:$BH$144</c:f>
              <c:numCache>
                <c:formatCode>[$$-409]#,##0.00;[Red]\-[$$-409]#,##0.00</c:formatCode>
                <c:ptCount val="58"/>
                <c:pt idx="0">
                  <c:v>2695534.6880000001</c:v>
                </c:pt>
                <c:pt idx="1">
                  <c:v>5098783.0840568244</c:v>
                </c:pt>
                <c:pt idx="2">
                  <c:v>67158760.168221712</c:v>
                </c:pt>
                <c:pt idx="3">
                  <c:v>361009404.24263662</c:v>
                </c:pt>
                <c:pt idx="4">
                  <c:v>550238235.28514421</c:v>
                </c:pt>
                <c:pt idx="5">
                  <c:v>636647370.41832352</c:v>
                </c:pt>
                <c:pt idx="6">
                  <c:v>620346245.52212226</c:v>
                </c:pt>
                <c:pt idx="7">
                  <c:v>543774730.01018262</c:v>
                </c:pt>
                <c:pt idx="8">
                  <c:v>476654705.54879397</c:v>
                </c:pt>
                <c:pt idx="9">
                  <c:v>417819541.40743721</c:v>
                </c:pt>
                <c:pt idx="10">
                  <c:v>366246608.18343794</c:v>
                </c:pt>
                <c:pt idx="11">
                  <c:v>321039503.21239108</c:v>
                </c:pt>
                <c:pt idx="12">
                  <c:v>281412469.9585945</c:v>
                </c:pt>
                <c:pt idx="13">
                  <c:v>246676740.57483485</c:v>
                </c:pt>
                <c:pt idx="14">
                  <c:v>216228564.24797887</c:v>
                </c:pt>
                <c:pt idx="15">
                  <c:v>189538713.24790844</c:v>
                </c:pt>
                <c:pt idx="16">
                  <c:v>166143284.28168648</c:v>
                </c:pt>
                <c:pt idx="17">
                  <c:v>145635635.26888034</c:v>
                </c:pt>
                <c:pt idx="18">
                  <c:v>127659317.38902211</c:v>
                </c:pt>
                <c:pt idx="19">
                  <c:v>111901879.55127101</c:v>
                </c:pt>
                <c:pt idx="20">
                  <c:v>98089437.600141659</c:v>
                </c:pt>
                <c:pt idx="21">
                  <c:v>85981913.863240391</c:v>
                </c:pt>
                <c:pt idx="22">
                  <c:v>75368864.298341259</c:v>
                </c:pt>
                <c:pt idx="23">
                  <c:v>66065820.71035213</c:v>
                </c:pt>
                <c:pt idx="24">
                  <c:v>57911084.461285323</c:v>
                </c:pt>
                <c:pt idx="25">
                  <c:v>50762915.943865933</c:v>
                </c:pt>
                <c:pt idx="26">
                  <c:v>44497070.968282208</c:v>
                </c:pt>
                <c:pt idx="27">
                  <c:v>39004641.241370618</c:v>
                </c:pt>
                <c:pt idx="28">
                  <c:v>34190161.403038554</c:v>
                </c:pt>
                <c:pt idx="29">
                  <c:v>29969949.717828758</c:v>
                </c:pt>
                <c:pt idx="30">
                  <c:v>26270653.580750842</c:v>
                </c:pt>
                <c:pt idx="31">
                  <c:v>23027974.556435671</c:v>
                </c:pt>
                <c:pt idx="32">
                  <c:v>20185550.791184101</c:v>
                </c:pt>
                <c:pt idx="33">
                  <c:v>17693977.372821115</c:v>
                </c:pt>
                <c:pt idx="34">
                  <c:v>15509947.610973278</c:v>
                </c:pt>
                <c:pt idx="35">
                  <c:v>13595500.312137069</c:v>
                </c:pt>
                <c:pt idx="36">
                  <c:v>11917359.966228811</c:v>
                </c:pt>
                <c:pt idx="37">
                  <c:v>10446358.376225771</c:v>
                </c:pt>
                <c:pt idx="38">
                  <c:v>9156927.6780916806</c:v>
                </c:pt>
                <c:pt idx="39">
                  <c:v>8026655.9390331712</c:v>
                </c:pt>
                <c:pt idx="40">
                  <c:v>7035897.609823999</c:v>
                </c:pt>
                <c:pt idx="41">
                  <c:v>6167432.0603668373</c:v>
                </c:pt>
                <c:pt idx="42">
                  <c:v>5406164.263409772</c:v>
                </c:pt>
                <c:pt idx="43">
                  <c:v>4738862.4239227585</c:v>
                </c:pt>
                <c:pt idx="44">
                  <c:v>4153927.9938014932</c:v>
                </c:pt>
                <c:pt idx="45">
                  <c:v>3641194.0744640087</c:v>
                </c:pt>
                <c:pt idx="46">
                  <c:v>3191748.7033227067</c:v>
                </c:pt>
                <c:pt idx="47">
                  <c:v>2797779.9526277012</c:v>
                </c:pt>
                <c:pt idx="48">
                  <c:v>2452440.1483038818</c:v>
                </c:pt>
                <c:pt idx="49">
                  <c:v>2149726.8487337348</c:v>
                </c:pt>
                <c:pt idx="50">
                  <c:v>1884378.5147469563</c:v>
                </c:pt>
                <c:pt idx="51">
                  <c:v>1651783.0574296173</c:v>
                </c:pt>
                <c:pt idx="52">
                  <c:v>1447897.67419839</c:v>
                </c:pt>
                <c:pt idx="53">
                  <c:v>1269178.5797896376</c:v>
                </c:pt>
                <c:pt idx="54">
                  <c:v>1112519.4107992805</c:v>
                </c:pt>
                <c:pt idx="55">
                  <c:v>975197.23316660686</c:v>
                </c:pt>
                <c:pt idx="56">
                  <c:v>854825.21414395841</c:v>
                </c:pt>
                <c:pt idx="57">
                  <c:v>749311.13613139628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303088"/>
        <c:axId val="303303648"/>
      </c:scatterChart>
      <c:valAx>
        <c:axId val="303303088"/>
        <c:scaling>
          <c:orientation val="minMax"/>
          <c:min val="20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03648"/>
        <c:crosses val="autoZero"/>
        <c:crossBetween val="midCat"/>
      </c:valAx>
      <c:valAx>
        <c:axId val="3033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;[Red][$$-409]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03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982290962530944"/>
          <c:y val="0.83860481681843557"/>
          <c:w val="0.67887738175710743"/>
          <c:h val="0.146725256531197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Salt Removed from Salton Sea Ecosystem Annually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'Annual Cost &amp; Revenue 20 MGD'!$A$124</c:f>
              <c:strCache>
                <c:ptCount val="1"/>
                <c:pt idx="0">
                  <c:v>Annual Metric Tons of Salt Removed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MGD'!$C$97:$BH$97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2316559.7491160906</c:v>
                </c:pt>
                <c:pt idx="5">
                  <c:v>4633119.4982321812</c:v>
                </c:pt>
                <c:pt idx="6">
                  <c:v>6995525.3683641087</c:v>
                </c:pt>
                <c:pt idx="7">
                  <c:v>9357931.2384960353</c:v>
                </c:pt>
                <c:pt idx="8">
                  <c:v>11720337.10862796</c:v>
                </c:pt>
                <c:pt idx="9">
                  <c:v>14128589.099775724</c:v>
                </c:pt>
                <c:pt idx="10">
                  <c:v>16582687.211939326</c:v>
                </c:pt>
                <c:pt idx="11">
                  <c:v>18990939.203087088</c:v>
                </c:pt>
                <c:pt idx="12">
                  <c:v>21445037.315250687</c:v>
                </c:pt>
                <c:pt idx="13">
                  <c:v>21628421.79931403</c:v>
                </c:pt>
                <c:pt idx="14">
                  <c:v>21811806.283377375</c:v>
                </c:pt>
                <c:pt idx="15">
                  <c:v>21949344.646424882</c:v>
                </c:pt>
                <c:pt idx="16">
                  <c:v>22132729.130488232</c:v>
                </c:pt>
                <c:pt idx="17">
                  <c:v>22270267.493535738</c:v>
                </c:pt>
                <c:pt idx="18">
                  <c:v>22453651.977599081</c:v>
                </c:pt>
                <c:pt idx="19">
                  <c:v>22637036.461662427</c:v>
                </c:pt>
                <c:pt idx="20">
                  <c:v>22820420.945725769</c:v>
                </c:pt>
                <c:pt idx="21">
                  <c:v>22957959.308773279</c:v>
                </c:pt>
                <c:pt idx="22">
                  <c:v>23141343.792836625</c:v>
                </c:pt>
                <c:pt idx="23">
                  <c:v>23324728.276899971</c:v>
                </c:pt>
                <c:pt idx="24">
                  <c:v>23508112.760963313</c:v>
                </c:pt>
                <c:pt idx="25">
                  <c:v>23691497.245026655</c:v>
                </c:pt>
                <c:pt idx="26">
                  <c:v>23829035.608074166</c:v>
                </c:pt>
                <c:pt idx="27">
                  <c:v>24012420.092137512</c:v>
                </c:pt>
                <c:pt idx="28">
                  <c:v>24195804.576200858</c:v>
                </c:pt>
                <c:pt idx="29">
                  <c:v>24379189.0602642</c:v>
                </c:pt>
                <c:pt idx="30">
                  <c:v>24562573.544327546</c:v>
                </c:pt>
                <c:pt idx="31">
                  <c:v>24745958.028390888</c:v>
                </c:pt>
                <c:pt idx="32">
                  <c:v>24929342.512454234</c:v>
                </c:pt>
                <c:pt idx="33">
                  <c:v>25158573.117533416</c:v>
                </c:pt>
                <c:pt idx="34">
                  <c:v>25341957.601596761</c:v>
                </c:pt>
                <c:pt idx="35">
                  <c:v>25525342.085660107</c:v>
                </c:pt>
                <c:pt idx="36">
                  <c:v>25708726.56972345</c:v>
                </c:pt>
                <c:pt idx="37">
                  <c:v>25892111.053786796</c:v>
                </c:pt>
                <c:pt idx="38">
                  <c:v>26121341.658865973</c:v>
                </c:pt>
                <c:pt idx="39">
                  <c:v>26304726.142929323</c:v>
                </c:pt>
                <c:pt idx="40">
                  <c:v>26488110.626992665</c:v>
                </c:pt>
                <c:pt idx="41">
                  <c:v>26717341.232071847</c:v>
                </c:pt>
                <c:pt idx="42">
                  <c:v>26900725.716135189</c:v>
                </c:pt>
                <c:pt idx="43">
                  <c:v>27084110.200198535</c:v>
                </c:pt>
                <c:pt idx="44">
                  <c:v>27313340.805277716</c:v>
                </c:pt>
                <c:pt idx="45">
                  <c:v>27496725.289341062</c:v>
                </c:pt>
                <c:pt idx="46">
                  <c:v>27725955.89442024</c:v>
                </c:pt>
                <c:pt idx="47">
                  <c:v>27955186.499499422</c:v>
                </c:pt>
                <c:pt idx="48">
                  <c:v>28138570.983562768</c:v>
                </c:pt>
                <c:pt idx="49">
                  <c:v>28367801.588641949</c:v>
                </c:pt>
                <c:pt idx="50">
                  <c:v>28551186.072705291</c:v>
                </c:pt>
                <c:pt idx="51">
                  <c:v>28780416.677784473</c:v>
                </c:pt>
                <c:pt idx="52">
                  <c:v>29009647.282863654</c:v>
                </c:pt>
                <c:pt idx="53">
                  <c:v>29238877.887942836</c:v>
                </c:pt>
                <c:pt idx="54">
                  <c:v>29422262.372006182</c:v>
                </c:pt>
                <c:pt idx="55">
                  <c:v>29651492.977085359</c:v>
                </c:pt>
                <c:pt idx="56">
                  <c:v>29880723.582164541</c:v>
                </c:pt>
                <c:pt idx="57">
                  <c:v>30109954.187243722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307008"/>
        <c:axId val="303307568"/>
      </c:scatterChart>
      <c:valAx>
        <c:axId val="303307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07568"/>
        <c:crosses val="autoZero"/>
        <c:crossBetween val="midCat"/>
      </c:valAx>
      <c:valAx>
        <c:axId val="30330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070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975024353222384"/>
          <c:y val="0.7095543187394735"/>
          <c:w val="0.28156906481312227"/>
          <c:h val="7.3290415245325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Salt Produced Annually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'Annual Cost &amp; Revenue 20 MGD'!$A$92</c:f>
              <c:strCache>
                <c:ptCount val="1"/>
                <c:pt idx="0">
                  <c:v>Solar Salt sold into market (metric tonnes per year)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MGD'!$C$92:$BH$92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325328.53760363266</c:v>
                </c:pt>
                <c:pt idx="5">
                  <c:v>563969.57520726533</c:v>
                </c:pt>
                <c:pt idx="6">
                  <c:v>822773.84686829115</c:v>
                </c:pt>
                <c:pt idx="7">
                  <c:v>1081578.1185293167</c:v>
                </c:pt>
                <c:pt idx="8">
                  <c:v>1340382.3901903429</c:v>
                </c:pt>
                <c:pt idx="9">
                  <c:v>1706037.3959087618</c:v>
                </c:pt>
                <c:pt idx="10">
                  <c:v>2091855.6356845736</c:v>
                </c:pt>
                <c:pt idx="11">
                  <c:v>3151010.6414029924</c:v>
                </c:pt>
                <c:pt idx="12">
                  <c:v>4230328.8811788037</c:v>
                </c:pt>
                <c:pt idx="13">
                  <c:v>4310981.8174083764</c:v>
                </c:pt>
                <c:pt idx="14">
                  <c:v>4391634.753637949</c:v>
                </c:pt>
                <c:pt idx="15">
                  <c:v>4452124.4558101278</c:v>
                </c:pt>
                <c:pt idx="16">
                  <c:v>4532777.3920397004</c:v>
                </c:pt>
                <c:pt idx="17">
                  <c:v>4593267.0942118801</c:v>
                </c:pt>
                <c:pt idx="18">
                  <c:v>4673920.0304414518</c:v>
                </c:pt>
                <c:pt idx="19">
                  <c:v>4754572.9666710244</c:v>
                </c:pt>
                <c:pt idx="20">
                  <c:v>4835225.9029005971</c:v>
                </c:pt>
                <c:pt idx="21">
                  <c:v>4895715.6050727759</c:v>
                </c:pt>
                <c:pt idx="22">
                  <c:v>4976368.5413023485</c:v>
                </c:pt>
                <c:pt idx="23">
                  <c:v>5057021.4775319211</c:v>
                </c:pt>
                <c:pt idx="24">
                  <c:v>5137674.4137614928</c:v>
                </c:pt>
                <c:pt idx="25">
                  <c:v>5218327.3499910655</c:v>
                </c:pt>
                <c:pt idx="26">
                  <c:v>5278817.0521632452</c:v>
                </c:pt>
                <c:pt idx="27">
                  <c:v>5359469.9883928169</c:v>
                </c:pt>
                <c:pt idx="28">
                  <c:v>5440122.9246223895</c:v>
                </c:pt>
                <c:pt idx="29">
                  <c:v>5520775.8608519621</c:v>
                </c:pt>
                <c:pt idx="30">
                  <c:v>5601428.7970815338</c:v>
                </c:pt>
                <c:pt idx="31">
                  <c:v>5682081.7333111065</c:v>
                </c:pt>
                <c:pt idx="32">
                  <c:v>5762734.6695406791</c:v>
                </c:pt>
                <c:pt idx="33">
                  <c:v>5863550.8398276437</c:v>
                </c:pt>
                <c:pt idx="34">
                  <c:v>5944203.7760572163</c:v>
                </c:pt>
                <c:pt idx="35">
                  <c:v>6024856.712286789</c:v>
                </c:pt>
                <c:pt idx="36">
                  <c:v>6105509.6485163607</c:v>
                </c:pt>
                <c:pt idx="37">
                  <c:v>6186162.5847459342</c:v>
                </c:pt>
                <c:pt idx="38">
                  <c:v>6286978.7550328989</c:v>
                </c:pt>
                <c:pt idx="39">
                  <c:v>6367631.6912624715</c:v>
                </c:pt>
                <c:pt idx="40">
                  <c:v>6448284.6274920441</c:v>
                </c:pt>
                <c:pt idx="41">
                  <c:v>6549100.7977790087</c:v>
                </c:pt>
                <c:pt idx="42">
                  <c:v>6629753.7340085814</c:v>
                </c:pt>
                <c:pt idx="43">
                  <c:v>6710406.670238154</c:v>
                </c:pt>
                <c:pt idx="44">
                  <c:v>6811222.8405251196</c:v>
                </c:pt>
                <c:pt idx="45">
                  <c:v>6891875.7767546922</c:v>
                </c:pt>
                <c:pt idx="46">
                  <c:v>6992691.9470416568</c:v>
                </c:pt>
                <c:pt idx="47">
                  <c:v>7093508.1173286224</c:v>
                </c:pt>
                <c:pt idx="48">
                  <c:v>7174161.053558195</c:v>
                </c:pt>
                <c:pt idx="49">
                  <c:v>7274977.2238451606</c:v>
                </c:pt>
                <c:pt idx="50">
                  <c:v>7355630.1600747332</c:v>
                </c:pt>
                <c:pt idx="51">
                  <c:v>7456446.3303616978</c:v>
                </c:pt>
                <c:pt idx="52">
                  <c:v>7557262.5006486643</c:v>
                </c:pt>
                <c:pt idx="53">
                  <c:v>7658078.6709356289</c:v>
                </c:pt>
                <c:pt idx="54">
                  <c:v>7738731.6071652016</c:v>
                </c:pt>
                <c:pt idx="55">
                  <c:v>7839547.7774521671</c:v>
                </c:pt>
                <c:pt idx="56">
                  <c:v>7940363.9477391317</c:v>
                </c:pt>
                <c:pt idx="57">
                  <c:v>8041180.1180260982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'Annual Cost &amp; Revenue 20 MGD'!$A$94</c:f>
              <c:strCache>
                <c:ptCount val="1"/>
                <c:pt idx="0">
                  <c:v>Refined Salt sold into market (metric tonnes per year)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MGD'!$C$94:$BH$94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693500</c:v>
                </c:pt>
                <c:pt idx="5">
                  <c:v>1473687.5</c:v>
                </c:pt>
                <c:pt idx="6">
                  <c:v>2253875</c:v>
                </c:pt>
                <c:pt idx="7">
                  <c:v>3034062.5</c:v>
                </c:pt>
                <c:pt idx="8">
                  <c:v>3814250</c:v>
                </c:pt>
                <c:pt idx="9">
                  <c:v>4507750</c:v>
                </c:pt>
                <c:pt idx="10">
                  <c:v>5201250</c:v>
                </c:pt>
                <c:pt idx="11">
                  <c:v>5201250</c:v>
                </c:pt>
                <c:pt idx="12">
                  <c:v>5201250</c:v>
                </c:pt>
                <c:pt idx="13">
                  <c:v>5201250</c:v>
                </c:pt>
                <c:pt idx="14">
                  <c:v>5201250</c:v>
                </c:pt>
                <c:pt idx="15">
                  <c:v>5201250</c:v>
                </c:pt>
                <c:pt idx="16">
                  <c:v>5201250</c:v>
                </c:pt>
                <c:pt idx="17">
                  <c:v>5201250</c:v>
                </c:pt>
                <c:pt idx="18">
                  <c:v>5201250</c:v>
                </c:pt>
                <c:pt idx="19">
                  <c:v>5201250</c:v>
                </c:pt>
                <c:pt idx="20">
                  <c:v>5201250</c:v>
                </c:pt>
                <c:pt idx="21">
                  <c:v>5201250</c:v>
                </c:pt>
                <c:pt idx="22">
                  <c:v>5201250</c:v>
                </c:pt>
                <c:pt idx="23">
                  <c:v>5201250</c:v>
                </c:pt>
                <c:pt idx="24">
                  <c:v>5201250</c:v>
                </c:pt>
                <c:pt idx="25">
                  <c:v>5201250</c:v>
                </c:pt>
                <c:pt idx="26">
                  <c:v>5201250</c:v>
                </c:pt>
                <c:pt idx="27">
                  <c:v>5201250</c:v>
                </c:pt>
                <c:pt idx="28">
                  <c:v>5201250</c:v>
                </c:pt>
                <c:pt idx="29">
                  <c:v>5201250</c:v>
                </c:pt>
                <c:pt idx="30">
                  <c:v>5201250</c:v>
                </c:pt>
                <c:pt idx="31">
                  <c:v>5201250</c:v>
                </c:pt>
                <c:pt idx="32">
                  <c:v>5201250</c:v>
                </c:pt>
                <c:pt idx="33">
                  <c:v>5201250</c:v>
                </c:pt>
                <c:pt idx="34">
                  <c:v>5201250</c:v>
                </c:pt>
                <c:pt idx="35">
                  <c:v>5201250</c:v>
                </c:pt>
                <c:pt idx="36">
                  <c:v>5201250</c:v>
                </c:pt>
                <c:pt idx="37">
                  <c:v>5201250</c:v>
                </c:pt>
                <c:pt idx="38">
                  <c:v>5201250</c:v>
                </c:pt>
                <c:pt idx="39">
                  <c:v>5201250</c:v>
                </c:pt>
                <c:pt idx="40">
                  <c:v>5201250</c:v>
                </c:pt>
                <c:pt idx="41">
                  <c:v>5201250</c:v>
                </c:pt>
                <c:pt idx="42">
                  <c:v>5201250</c:v>
                </c:pt>
                <c:pt idx="43">
                  <c:v>5201250</c:v>
                </c:pt>
                <c:pt idx="44">
                  <c:v>5201250</c:v>
                </c:pt>
                <c:pt idx="45">
                  <c:v>5201250</c:v>
                </c:pt>
                <c:pt idx="46">
                  <c:v>5201250</c:v>
                </c:pt>
                <c:pt idx="47">
                  <c:v>5201250</c:v>
                </c:pt>
                <c:pt idx="48">
                  <c:v>5201250</c:v>
                </c:pt>
                <c:pt idx="49">
                  <c:v>5201250</c:v>
                </c:pt>
                <c:pt idx="50">
                  <c:v>5201250</c:v>
                </c:pt>
                <c:pt idx="51">
                  <c:v>5201250</c:v>
                </c:pt>
                <c:pt idx="52">
                  <c:v>5201250</c:v>
                </c:pt>
                <c:pt idx="53">
                  <c:v>5201250</c:v>
                </c:pt>
                <c:pt idx="54">
                  <c:v>5201250</c:v>
                </c:pt>
                <c:pt idx="55">
                  <c:v>5201250</c:v>
                </c:pt>
                <c:pt idx="56">
                  <c:v>5201250</c:v>
                </c:pt>
                <c:pt idx="57">
                  <c:v>5201250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194992"/>
        <c:axId val="303195552"/>
      </c:scatterChart>
      <c:valAx>
        <c:axId val="303194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195552"/>
        <c:crosses val="autoZero"/>
        <c:crossBetween val="midCat"/>
      </c:valAx>
      <c:valAx>
        <c:axId val="30319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194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260948537765427"/>
          <c:y val="0.5705749484897451"/>
          <c:w val="0.36851532112702784"/>
          <c:h val="0.155809416331101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Distilled Water Produced Annually </a:t>
            </a:r>
            <a:endParaRPr lang="en-US"/>
          </a:p>
        </c:rich>
      </c:tx>
      <c:layout>
        <c:manualLayout>
          <c:xMode val="edge"/>
          <c:yMode val="edge"/>
          <c:x val="0.38593302343231195"/>
          <c:y val="3.3126293995859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375754602816878E-2"/>
          <c:y val="3.3651228379061315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'Annual Cost &amp; Revenue 20 MGD'!$A$119</c:f>
              <c:strCache>
                <c:ptCount val="1"/>
                <c:pt idx="0">
                  <c:v>Acre-feet of distilled water supplied to habitat or Salton Sea (AFY)</c:v>
                </c:pt>
              </c:strCache>
            </c:strRef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MGD'!$C$119:$BH$119</c:f>
              <c:numCache>
                <c:formatCode>#,##0;[Red]#,##0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42565.155663015394</c:v>
                </c:pt>
                <c:pt idx="5">
                  <c:v>85228.604087388332</c:v>
                </c:pt>
                <c:pt idx="6">
                  <c:v>127990.34527311883</c:v>
                </c:pt>
                <c:pt idx="7">
                  <c:v>170852.32449350876</c:v>
                </c:pt>
                <c:pt idx="8">
                  <c:v>213814.54174855811</c:v>
                </c:pt>
                <c:pt idx="9">
                  <c:v>256876.99703826691</c:v>
                </c:pt>
                <c:pt idx="10">
                  <c:v>300041.63563593704</c:v>
                </c:pt>
                <c:pt idx="11">
                  <c:v>343310.40281487035</c:v>
                </c:pt>
                <c:pt idx="12">
                  <c:v>386681.35330176499</c:v>
                </c:pt>
                <c:pt idx="13">
                  <c:v>387591.27670690749</c:v>
                </c:pt>
                <c:pt idx="14">
                  <c:v>388508.98120525747</c:v>
                </c:pt>
                <c:pt idx="15">
                  <c:v>389434.46679681505</c:v>
                </c:pt>
                <c:pt idx="16">
                  <c:v>390365.78820827825</c:v>
                </c:pt>
                <c:pt idx="17">
                  <c:v>391304.89071294898</c:v>
                </c:pt>
                <c:pt idx="18">
                  <c:v>392249.8290375254</c:v>
                </c:pt>
                <c:pt idx="19">
                  <c:v>393202.54845530936</c:v>
                </c:pt>
                <c:pt idx="20">
                  <c:v>394163.04896630085</c:v>
                </c:pt>
                <c:pt idx="21">
                  <c:v>395131.33057049988</c:v>
                </c:pt>
                <c:pt idx="22">
                  <c:v>396105.44799460459</c:v>
                </c:pt>
                <c:pt idx="23">
                  <c:v>397087.34651191684</c:v>
                </c:pt>
                <c:pt idx="24">
                  <c:v>398077.02612243663</c:v>
                </c:pt>
                <c:pt idx="25">
                  <c:v>399074.48682616395</c:v>
                </c:pt>
                <c:pt idx="26">
                  <c:v>400079.72862309881</c:v>
                </c:pt>
                <c:pt idx="27">
                  <c:v>401090.80623993935</c:v>
                </c:pt>
                <c:pt idx="28">
                  <c:v>402109.66494998743</c:v>
                </c:pt>
                <c:pt idx="29">
                  <c:v>403136.30475324305</c:v>
                </c:pt>
                <c:pt idx="30">
                  <c:v>404170.7256497062</c:v>
                </c:pt>
                <c:pt idx="31">
                  <c:v>405212.9276393769</c:v>
                </c:pt>
                <c:pt idx="32">
                  <c:v>406262.91072225518</c:v>
                </c:pt>
                <c:pt idx="33">
                  <c:v>407320.67489834095</c:v>
                </c:pt>
                <c:pt idx="34">
                  <c:v>408388.16544093617</c:v>
                </c:pt>
                <c:pt idx="35">
                  <c:v>409463.43707673892</c:v>
                </c:pt>
                <c:pt idx="36">
                  <c:v>410546.48980574927</c:v>
                </c:pt>
                <c:pt idx="37">
                  <c:v>411637.3236279671</c:v>
                </c:pt>
                <c:pt idx="38">
                  <c:v>412735.93854339246</c:v>
                </c:pt>
                <c:pt idx="39">
                  <c:v>413844.27982532734</c:v>
                </c:pt>
                <c:pt idx="40">
                  <c:v>414960.40220046969</c:v>
                </c:pt>
                <c:pt idx="41">
                  <c:v>416084.30566881958</c:v>
                </c:pt>
                <c:pt idx="42">
                  <c:v>417217.93550367892</c:v>
                </c:pt>
                <c:pt idx="43">
                  <c:v>418359.3464317458</c:v>
                </c:pt>
                <c:pt idx="44">
                  <c:v>419508.53845302021</c:v>
                </c:pt>
                <c:pt idx="45">
                  <c:v>420667.45684080408</c:v>
                </c:pt>
                <c:pt idx="46">
                  <c:v>421834.15632179548</c:v>
                </c:pt>
                <c:pt idx="47">
                  <c:v>423010.58216929634</c:v>
                </c:pt>
                <c:pt idx="48">
                  <c:v>424196.73438330658</c:v>
                </c:pt>
                <c:pt idx="49">
                  <c:v>425390.66769052437</c:v>
                </c:pt>
                <c:pt idx="50">
                  <c:v>426594.3273642516</c:v>
                </c:pt>
                <c:pt idx="51">
                  <c:v>427805.76813118637</c:v>
                </c:pt>
                <c:pt idx="52">
                  <c:v>429026.93526463059</c:v>
                </c:pt>
                <c:pt idx="53">
                  <c:v>430257.82876458421</c:v>
                </c:pt>
                <c:pt idx="54">
                  <c:v>431498.44863104727</c:v>
                </c:pt>
                <c:pt idx="55">
                  <c:v>432746.84959071787</c:v>
                </c:pt>
                <c:pt idx="56">
                  <c:v>434004.97691689793</c:v>
                </c:pt>
                <c:pt idx="57">
                  <c:v>435272.83060958737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'Annual Cost &amp; Revenue 20 MGD'!$A$51</c:f>
              <c:strCache>
                <c:ptCount val="1"/>
                <c:pt idx="0">
                  <c:v>Acre-feet of Distilled Water Sold to Customers (AFY)</c:v>
                </c:pt>
              </c:strCache>
            </c:strRef>
          </c:tx>
          <c:spPr>
            <a:ln w="190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MGD'!$C$51:$BH$51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198912"/>
        <c:axId val="303199472"/>
      </c:scatterChart>
      <c:valAx>
        <c:axId val="30319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199472"/>
        <c:crosses val="autoZero"/>
        <c:crossBetween val="midCat"/>
      </c:valAx>
      <c:valAx>
        <c:axId val="30319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198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443434579493313"/>
          <c:y val="0.53317291860256599"/>
          <c:w val="0.41200635844703953"/>
          <c:h val="0.12540767908897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Power Produced Annually (MWh) </a:t>
            </a:r>
            <a:endParaRPr lang="en-US"/>
          </a:p>
        </c:rich>
      </c:tx>
      <c:layout>
        <c:manualLayout>
          <c:xMode val="edge"/>
          <c:yMode val="edge"/>
          <c:x val="0.3824067231090677"/>
          <c:y val="2.4844720496894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'Annual Cost &amp; Revenue 20 MGD'!$A$107</c:f>
              <c:strCache>
                <c:ptCount val="1"/>
                <c:pt idx="0">
                  <c:v>MWh of Power Produced (baseload seasonal average)</c:v>
                </c:pt>
              </c:strCache>
            </c:strRef>
          </c:tx>
          <c:spPr>
            <a:ln w="19050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MGD'!$C$107:$BH$107</c:f>
              <c:numCache>
                <c:formatCode>#,##0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27377.536618501919</c:v>
                </c:pt>
                <c:pt idx="6">
                  <c:v>82132.609855505754</c:v>
                </c:pt>
                <c:pt idx="7">
                  <c:v>164807.03774847259</c:v>
                </c:pt>
                <c:pt idx="8">
                  <c:v>275400.82029740233</c:v>
                </c:pt>
                <c:pt idx="9">
                  <c:v>413913.95750229503</c:v>
                </c:pt>
                <c:pt idx="10">
                  <c:v>580888.26740061177</c:v>
                </c:pt>
                <c:pt idx="11">
                  <c:v>776865.5680298137</c:v>
                </c:pt>
                <c:pt idx="12">
                  <c:v>1001304.0413524394</c:v>
                </c:pt>
                <c:pt idx="13">
                  <c:v>1254745.5054059504</c:v>
                </c:pt>
                <c:pt idx="14">
                  <c:v>1510354.2416093051</c:v>
                </c:pt>
                <c:pt idx="15">
                  <c:v>1768130.2499625043</c:v>
                </c:pt>
                <c:pt idx="16">
                  <c:v>2027531.7124280867</c:v>
                </c:pt>
                <c:pt idx="17">
                  <c:v>2289100.4470435134</c:v>
                </c:pt>
                <c:pt idx="18">
                  <c:v>2552294.635771323</c:v>
                </c:pt>
                <c:pt idx="19">
                  <c:v>2817656.0966489767</c:v>
                </c:pt>
                <c:pt idx="20">
                  <c:v>3085184.8296764744</c:v>
                </c:pt>
                <c:pt idx="21">
                  <c:v>3354880.8348538168</c:v>
                </c:pt>
                <c:pt idx="22">
                  <c:v>3626202.2941435417</c:v>
                </c:pt>
                <c:pt idx="23">
                  <c:v>3899691.0255831112</c:v>
                </c:pt>
                <c:pt idx="24">
                  <c:v>4175347.0291725248</c:v>
                </c:pt>
                <c:pt idx="25">
                  <c:v>4453170.304911782</c:v>
                </c:pt>
                <c:pt idx="26">
                  <c:v>4733160.8528008843</c:v>
                </c:pt>
                <c:pt idx="27">
                  <c:v>5014776.8548023691</c:v>
                </c:pt>
                <c:pt idx="28">
                  <c:v>5298560.128953699</c:v>
                </c:pt>
                <c:pt idx="29">
                  <c:v>5584510.6752548721</c:v>
                </c:pt>
                <c:pt idx="30">
                  <c:v>5872628.4937058901</c:v>
                </c:pt>
                <c:pt idx="31">
                  <c:v>6162913.5843067523</c:v>
                </c:pt>
                <c:pt idx="32">
                  <c:v>6455365.9470574576</c:v>
                </c:pt>
                <c:pt idx="33">
                  <c:v>6749985.5819580071</c:v>
                </c:pt>
                <c:pt idx="34">
                  <c:v>7047314.3070458621</c:v>
                </c:pt>
                <c:pt idx="35">
                  <c:v>7346810.3042835621</c:v>
                </c:pt>
                <c:pt idx="36">
                  <c:v>7648473.5736711062</c:v>
                </c:pt>
                <c:pt idx="37">
                  <c:v>7952304.1152084935</c:v>
                </c:pt>
                <c:pt idx="38">
                  <c:v>8258301.9288957259</c:v>
                </c:pt>
                <c:pt idx="39">
                  <c:v>8567008.8327702638</c:v>
                </c:pt>
                <c:pt idx="40">
                  <c:v>8877883.0087946448</c:v>
                </c:pt>
                <c:pt idx="41">
                  <c:v>9190924.4569688682</c:v>
                </c:pt>
                <c:pt idx="42">
                  <c:v>9506674.9953303989</c:v>
                </c:pt>
                <c:pt idx="43">
                  <c:v>9824592.8058417737</c:v>
                </c:pt>
                <c:pt idx="44">
                  <c:v>10144677.888502995</c:v>
                </c:pt>
                <c:pt idx="45">
                  <c:v>10467472.061351519</c:v>
                </c:pt>
                <c:pt idx="46">
                  <c:v>10792433.506349886</c:v>
                </c:pt>
                <c:pt idx="47">
                  <c:v>11120104.041535558</c:v>
                </c:pt>
                <c:pt idx="48">
                  <c:v>11450483.666908536</c:v>
                </c:pt>
                <c:pt idx="49">
                  <c:v>11783030.56443136</c:v>
                </c:pt>
                <c:pt idx="50">
                  <c:v>12118286.552141488</c:v>
                </c:pt>
                <c:pt idx="51">
                  <c:v>12455709.812001461</c:v>
                </c:pt>
                <c:pt idx="52">
                  <c:v>12795842.16204874</c:v>
                </c:pt>
                <c:pt idx="53">
                  <c:v>13138683.602283323</c:v>
                </c:pt>
                <c:pt idx="54">
                  <c:v>13484234.132705212</c:v>
                </c:pt>
                <c:pt idx="55">
                  <c:v>13831951.935276944</c:v>
                </c:pt>
                <c:pt idx="56">
                  <c:v>14182378.828035982</c:v>
                </c:pt>
                <c:pt idx="57">
                  <c:v>14535514.810982324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888768"/>
        <c:axId val="303889328"/>
      </c:scatterChart>
      <c:valAx>
        <c:axId val="30388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889328"/>
        <c:crosses val="autoZero"/>
        <c:crossBetween val="midCat"/>
      </c:valAx>
      <c:valAx>
        <c:axId val="30388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888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27801314726931E-2"/>
          <c:y val="0.23089548589035067"/>
          <c:w val="0.60830374310763313"/>
          <c:h val="0.125407679088973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Salt Produced Annually as Percentage of US Market </a:t>
            </a:r>
            <a:endParaRPr lang="en-US"/>
          </a:p>
        </c:rich>
      </c:tx>
      <c:layout>
        <c:manualLayout>
          <c:xMode val="edge"/>
          <c:yMode val="edge"/>
          <c:x val="0.41024385616211717"/>
          <c:y val="1.7372421281216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39049285505971E-2"/>
          <c:y val="2.536960593551672E-2"/>
          <c:w val="0.93154927490351136"/>
          <c:h val="0.88795226439391706"/>
        </c:manualLayout>
      </c:layout>
      <c:scatterChart>
        <c:scatterStyle val="lineMarker"/>
        <c:varyColors val="0"/>
        <c:ser>
          <c:idx val="2"/>
          <c:order val="0"/>
          <c:tx>
            <c:strRef>
              <c:f>'Annual Cost &amp; Revenue 20 MGD'!$A$93</c:f>
              <c:strCache>
                <c:ptCount val="1"/>
                <c:pt idx="0">
                  <c:v>Portion of Annual Domestic Solar Salt Consumption (2019 basis)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MGD'!$C$93:$BH$93</c:f>
              <c:numCache>
                <c:formatCode>0.0%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7.0980606649562586E-2</c:v>
                </c:pt>
                <c:pt idx="5">
                  <c:v>0.12248279397614172</c:v>
                </c:pt>
                <c:pt idx="6">
                  <c:v>0.17787335716330346</c:v>
                </c:pt>
                <c:pt idx="7">
                  <c:v>0.23276002647210728</c:v>
                </c:pt>
                <c:pt idx="8">
                  <c:v>0.28714964673324256</c:v>
                </c:pt>
                <c:pt idx="9">
                  <c:v>0.36383635398512826</c:v>
                </c:pt>
                <c:pt idx="10">
                  <c:v>0.44411562148304412</c:v>
                </c:pt>
                <c:pt idx="11">
                  <c:v>0.66599313198814669</c:v>
                </c:pt>
                <c:pt idx="12">
                  <c:v>0.89013980235357493</c:v>
                </c:pt>
                <c:pt idx="13">
                  <c:v>0.90309425096874696</c:v>
                </c:pt>
                <c:pt idx="14">
                  <c:v>0.91593448805973154</c:v>
                </c:pt>
                <c:pt idx="15">
                  <c:v>0.92447516026490284</c:v>
                </c:pt>
                <c:pt idx="16">
                  <c:v>0.9371097545325211</c:v>
                </c:pt>
                <c:pt idx="17">
                  <c:v>0.94548398518022625</c:v>
                </c:pt>
                <c:pt idx="18">
                  <c:v>0.95791811165192953</c:v>
                </c:pt>
                <c:pt idx="19">
                  <c:v>0.97024497808151788</c:v>
                </c:pt>
                <c:pt idx="20">
                  <c:v>0.98246596638855399</c:v>
                </c:pt>
                <c:pt idx="21">
                  <c:v>0.99050300184208218</c:v>
                </c:pt>
                <c:pt idx="22">
                  <c:v>1.0025336559836402</c:v>
                </c:pt>
                <c:pt idx="23">
                  <c:v>1.0144622906352752</c:v>
                </c:pt>
                <c:pt idx="24">
                  <c:v>1.0262901980001646</c:v>
                </c:pt>
                <c:pt idx="25">
                  <c:v>1.0380186485501</c:v>
                </c:pt>
                <c:pt idx="26">
                  <c:v>1.0456548558105574</c:v>
                </c:pt>
                <c:pt idx="27">
                  <c:v>1.0572047716986741</c:v>
                </c:pt>
                <c:pt idx="28">
                  <c:v>1.06865877801284</c:v>
                </c:pt>
                <c:pt idx="29">
                  <c:v>1.0800180644515771</c:v>
                </c:pt>
                <c:pt idx="30">
                  <c:v>1.091283801117801</c:v>
                </c:pt>
                <c:pt idx="31">
                  <c:v>1.1024571389206215</c:v>
                </c:pt>
                <c:pt idx="32">
                  <c:v>1.1135392099672978</c:v>
                </c:pt>
                <c:pt idx="33">
                  <c:v>1.1284114429045577</c:v>
                </c:pt>
                <c:pt idx="34">
                  <c:v>1.1392985841398391</c:v>
                </c:pt>
                <c:pt idx="35">
                  <c:v>1.1500978727525868</c:v>
                </c:pt>
                <c:pt idx="36">
                  <c:v>1.1608103678456618</c:v>
                </c:pt>
                <c:pt idx="37">
                  <c:v>1.1714371115661193</c:v>
                </c:pt>
                <c:pt idx="38">
                  <c:v>1.1857821011052692</c:v>
                </c:pt>
                <c:pt idx="39">
                  <c:v>1.1962253022414118</c:v>
                </c:pt>
                <c:pt idx="40">
                  <c:v>1.2065858994903007</c:v>
                </c:pt>
                <c:pt idx="41">
                  <c:v>1.2206228972170847</c:v>
                </c:pt>
                <c:pt idx="42">
                  <c:v>1.2308064539740333</c:v>
                </c:pt>
                <c:pt idx="43">
                  <c:v>1.2409104050851969</c:v>
                </c:pt>
                <c:pt idx="44">
                  <c:v>1.2546498148618779</c:v>
                </c:pt>
                <c:pt idx="45">
                  <c:v>1.2645829253924257</c:v>
                </c:pt>
                <c:pt idx="46">
                  <c:v>1.2781247252891688</c:v>
                </c:pt>
                <c:pt idx="47">
                  <c:v>1.2915622974085079</c:v>
                </c:pt>
                <c:pt idx="48">
                  <c:v>1.3012396602484368</c:v>
                </c:pt>
                <c:pt idx="49">
                  <c:v>1.3144863213212992</c:v>
                </c:pt>
                <c:pt idx="50">
                  <c:v>1.3240028367907568</c:v>
                </c:pt>
                <c:pt idx="51">
                  <c:v>1.3370628142271208</c:v>
                </c:pt>
                <c:pt idx="52">
                  <c:v>1.3500241700147246</c:v>
                </c:pt>
                <c:pt idx="53">
                  <c:v>1.3628880170549007</c:v>
                </c:pt>
                <c:pt idx="54">
                  <c:v>1.372080501342732</c:v>
                </c:pt>
                <c:pt idx="55">
                  <c:v>1.3847659500063894</c:v>
                </c:pt>
                <c:pt idx="56">
                  <c:v>1.3973570304847671</c:v>
                </c:pt>
                <c:pt idx="57">
                  <c:v>1.4098547918956641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'Annual Cost &amp; Revenue 20 MGD'!$A$95</c:f>
              <c:strCache>
                <c:ptCount val="1"/>
                <c:pt idx="0">
                  <c:v>Portion of Annual Domestic Refined Salt Consumption (2019 basis)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xVal>
            <c:numRef>
              <c:f>'Annual Cost &amp; Revenue 20 MGD'!$C$1:$BH$1</c:f>
              <c:numCache>
                <c:formatCode>General</c:formatCode>
                <c:ptCount val="58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</c:numCache>
            </c:numRef>
          </c:xVal>
          <c:yVal>
            <c:numRef>
              <c:f>'Annual Cost &amp; Revenue 20 MGD'!$C$95:$BH$95</c:f>
              <c:numCache>
                <c:formatCode>0.0%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0.12104699101791187</c:v>
                </c:pt>
                <c:pt idx="5">
                  <c:v>0.2560441135589685</c:v>
                </c:pt>
                <c:pt idx="6">
                  <c:v>0.38980754130909268</c:v>
                </c:pt>
                <c:pt idx="7">
                  <c:v>0.52235410884850353</c:v>
                </c:pt>
                <c:pt idx="8">
                  <c:v>0.65370034585234227</c:v>
                </c:pt>
                <c:pt idx="9">
                  <c:v>0.7690726257745748</c:v>
                </c:pt>
                <c:pt idx="10">
                  <c:v>0.88340948078196979</c:v>
                </c:pt>
                <c:pt idx="11">
                  <c:v>0.8794630477568931</c:v>
                </c:pt>
                <c:pt idx="12">
                  <c:v>0.87555171752062955</c:v>
                </c:pt>
                <c:pt idx="13">
                  <c:v>0.87167502379771344</c:v>
                </c:pt>
                <c:pt idx="14">
                  <c:v>0.86783250853441585</c:v>
                </c:pt>
                <c:pt idx="15">
                  <c:v>0.86402372171832975</c:v>
                </c:pt>
                <c:pt idx="16">
                  <c:v>0.86024822120266797</c:v>
                </c:pt>
                <c:pt idx="17">
                  <c:v>0.8565055725351739</c:v>
                </c:pt>
                <c:pt idx="18">
                  <c:v>0.85279534879145347</c:v>
                </c:pt>
                <c:pt idx="19">
                  <c:v>0.84911713041263637</c:v>
                </c:pt>
                <c:pt idx="20">
                  <c:v>0.8454705050472211</c:v>
                </c:pt>
                <c:pt idx="21">
                  <c:v>0.84185506739696281</c:v>
                </c:pt>
                <c:pt idx="22">
                  <c:v>0.83827041906671296</c:v>
                </c:pt>
                <c:pt idx="23">
                  <c:v>0.8347161684180795</c:v>
                </c:pt>
                <c:pt idx="24">
                  <c:v>0.83119193042677886</c:v>
                </c:pt>
                <c:pt idx="25">
                  <c:v>0.82769732654360229</c:v>
                </c:pt>
                <c:pt idx="26">
                  <c:v>0.82423198455887248</c:v>
                </c:pt>
                <c:pt idx="27">
                  <c:v>0.8207955384702792</c:v>
                </c:pt>
                <c:pt idx="28">
                  <c:v>0.81738762835401946</c:v>
                </c:pt>
                <c:pt idx="29">
                  <c:v>0.81400790023913572</c:v>
                </c:pt>
                <c:pt idx="30">
                  <c:v>0.81065600598494469</c:v>
                </c:pt>
                <c:pt idx="31">
                  <c:v>0.80733160316149555</c:v>
                </c:pt>
                <c:pt idx="32">
                  <c:v>0.80403435493295683</c:v>
                </c:pt>
                <c:pt idx="33">
                  <c:v>0.80076392994383616</c:v>
                </c:pt>
                <c:pt idx="34">
                  <c:v>0.79752000220798602</c:v>
                </c:pt>
                <c:pt idx="35">
                  <c:v>0.79430225100027518</c:v>
                </c:pt>
                <c:pt idx="36">
                  <c:v>0.79111036075088692</c:v>
                </c:pt>
                <c:pt idx="37">
                  <c:v>0.78794402094215443</c:v>
                </c:pt>
                <c:pt idx="38">
                  <c:v>0.78480292600785262</c:v>
                </c:pt>
                <c:pt idx="39">
                  <c:v>0.78168677523490016</c:v>
                </c:pt>
                <c:pt idx="40">
                  <c:v>0.77859527266739514</c:v>
                </c:pt>
                <c:pt idx="41">
                  <c:v>0.77552812701290685</c:v>
                </c:pt>
                <c:pt idx="42">
                  <c:v>0.77248505155098468</c:v>
                </c:pt>
                <c:pt idx="43">
                  <c:v>0.76946576404381362</c:v>
                </c:pt>
                <c:pt idx="44">
                  <c:v>0.76646998664894428</c:v>
                </c:pt>
                <c:pt idx="45">
                  <c:v>0.76349744583406687</c:v>
                </c:pt>
                <c:pt idx="46">
                  <c:v>0.76054787229375842</c:v>
                </c:pt>
                <c:pt idx="47">
                  <c:v>0.7576210008681421</c:v>
                </c:pt>
                <c:pt idx="48">
                  <c:v>0.75471657046342955</c:v>
                </c:pt>
                <c:pt idx="49">
                  <c:v>0.75183432397428218</c:v>
                </c:pt>
                <c:pt idx="50">
                  <c:v>0.74897400820793381</c:v>
                </c:pt>
                <c:pt idx="51">
                  <c:v>0.74613537381005646</c:v>
                </c:pt>
                <c:pt idx="52">
                  <c:v>0.7433181751922876</c:v>
                </c:pt>
                <c:pt idx="53">
                  <c:v>0.74052217046140478</c:v>
                </c:pt>
                <c:pt idx="54">
                  <c:v>0.73774712135009324</c:v>
                </c:pt>
                <c:pt idx="55">
                  <c:v>0.73499279314925281</c:v>
                </c:pt>
                <c:pt idx="56">
                  <c:v>0.732258954641828</c:v>
                </c:pt>
                <c:pt idx="57">
                  <c:v>0.72954537803810682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892128"/>
        <c:axId val="303892688"/>
      </c:scatterChart>
      <c:valAx>
        <c:axId val="303892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892688"/>
        <c:crosses val="autoZero"/>
        <c:crossBetween val="midCat"/>
      </c:valAx>
      <c:valAx>
        <c:axId val="30389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892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260948537765427"/>
          <c:y val="0.37079210375576011"/>
          <c:w val="0.32267341692485324"/>
          <c:h val="0.190554258893534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</xdr:row>
      <xdr:rowOff>69850</xdr:rowOff>
    </xdr:from>
    <xdr:to>
      <xdr:col>8</xdr:col>
      <xdr:colOff>889000</xdr:colOff>
      <xdr:row>34</xdr:row>
      <xdr:rowOff>82550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8</xdr:col>
      <xdr:colOff>793750</xdr:colOff>
      <xdr:row>55</xdr:row>
      <xdr:rowOff>9525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8</xdr:col>
      <xdr:colOff>793750</xdr:colOff>
      <xdr:row>75</xdr:row>
      <xdr:rowOff>9525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76</xdr:row>
      <xdr:rowOff>19051</xdr:rowOff>
    </xdr:from>
    <xdr:to>
      <xdr:col>8</xdr:col>
      <xdr:colOff>793750</xdr:colOff>
      <xdr:row>95</xdr:row>
      <xdr:rowOff>9526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8</xdr:col>
      <xdr:colOff>793750</xdr:colOff>
      <xdr:row>115</xdr:row>
      <xdr:rowOff>152400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8</xdr:col>
      <xdr:colOff>793750</xdr:colOff>
      <xdr:row>135</xdr:row>
      <xdr:rowOff>9525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36"/>
  <sheetViews>
    <sheetView tabSelected="1" topLeftCell="A112" zoomScaleNormal="100" workbookViewId="0">
      <selection activeCell="K15" sqref="K15"/>
    </sheetView>
  </sheetViews>
  <sheetFormatPr defaultRowHeight="12.75" x14ac:dyDescent="0.2"/>
  <cols>
    <col min="1" max="1" width="57.85546875" customWidth="1"/>
    <col min="2" max="2" width="10.85546875" customWidth="1"/>
    <col min="3" max="3" width="12.140625" bestFit="1" customWidth="1"/>
    <col min="4" max="4" width="13.85546875" customWidth="1"/>
    <col min="5" max="9" width="13.85546875" bestFit="1" customWidth="1"/>
  </cols>
  <sheetData>
    <row r="1" spans="1:9" ht="17.25" customHeight="1" x14ac:dyDescent="0.25">
      <c r="A1" s="215" t="s">
        <v>820</v>
      </c>
      <c r="B1" s="215"/>
      <c r="C1" s="215"/>
      <c r="D1" s="215"/>
      <c r="E1" s="215"/>
      <c r="F1" s="215"/>
      <c r="G1" s="215"/>
      <c r="H1" s="215"/>
      <c r="I1" s="215"/>
    </row>
    <row r="2" spans="1:9" x14ac:dyDescent="0.2">
      <c r="B2" s="146"/>
    </row>
    <row r="3" spans="1:9" x14ac:dyDescent="0.2">
      <c r="A3" s="216"/>
      <c r="B3" s="216"/>
      <c r="C3" s="216"/>
      <c r="D3" s="216"/>
      <c r="E3" s="216"/>
      <c r="F3" s="216"/>
      <c r="G3" s="216"/>
      <c r="H3" s="216"/>
      <c r="I3" s="216"/>
    </row>
    <row r="4" spans="1:9" x14ac:dyDescent="0.2">
      <c r="A4" s="216"/>
      <c r="B4" s="216"/>
      <c r="C4" s="216"/>
      <c r="D4" s="216"/>
      <c r="E4" s="216"/>
      <c r="F4" s="216"/>
      <c r="G4" s="216"/>
      <c r="H4" s="216"/>
      <c r="I4" s="216"/>
    </row>
    <row r="5" spans="1:9" x14ac:dyDescent="0.2">
      <c r="A5" s="216"/>
      <c r="B5" s="216"/>
      <c r="C5" s="216"/>
      <c r="D5" s="216"/>
      <c r="E5" s="216"/>
      <c r="F5" s="216"/>
      <c r="G5" s="216"/>
      <c r="H5" s="216"/>
      <c r="I5" s="216"/>
    </row>
    <row r="6" spans="1:9" x14ac:dyDescent="0.2">
      <c r="A6" s="216"/>
      <c r="B6" s="216"/>
      <c r="C6" s="216"/>
      <c r="D6" s="216"/>
      <c r="E6" s="216"/>
      <c r="F6" s="216"/>
      <c r="G6" s="216"/>
      <c r="H6" s="216"/>
      <c r="I6" s="216"/>
    </row>
    <row r="7" spans="1:9" x14ac:dyDescent="0.2">
      <c r="A7" s="216"/>
      <c r="B7" s="216"/>
      <c r="C7" s="216"/>
      <c r="D7" s="216"/>
      <c r="E7" s="216"/>
      <c r="F7" s="216"/>
      <c r="G7" s="216"/>
      <c r="H7" s="216"/>
      <c r="I7" s="216"/>
    </row>
    <row r="8" spans="1:9" x14ac:dyDescent="0.2">
      <c r="A8" s="216"/>
      <c r="B8" s="216"/>
      <c r="C8" s="216"/>
      <c r="D8" s="216"/>
      <c r="E8" s="216"/>
      <c r="F8" s="216"/>
      <c r="G8" s="216"/>
      <c r="H8" s="216"/>
      <c r="I8" s="216"/>
    </row>
    <row r="9" spans="1:9" x14ac:dyDescent="0.2">
      <c r="A9" s="216"/>
      <c r="B9" s="216"/>
      <c r="C9" s="216"/>
      <c r="D9" s="216"/>
      <c r="E9" s="216"/>
      <c r="F9" s="216"/>
      <c r="G9" s="216"/>
      <c r="H9" s="216"/>
      <c r="I9" s="216"/>
    </row>
    <row r="10" spans="1:9" x14ac:dyDescent="0.2">
      <c r="A10" s="216"/>
      <c r="B10" s="216"/>
      <c r="C10" s="216"/>
      <c r="D10" s="216"/>
      <c r="E10" s="216"/>
      <c r="F10" s="216"/>
      <c r="G10" s="216"/>
      <c r="H10" s="216"/>
      <c r="I10" s="216"/>
    </row>
    <row r="11" spans="1:9" x14ac:dyDescent="0.2">
      <c r="A11" s="216"/>
      <c r="B11" s="216"/>
      <c r="C11" s="216"/>
      <c r="D11" s="216"/>
      <c r="E11" s="216"/>
      <c r="F11" s="216"/>
      <c r="G11" s="216"/>
      <c r="H11" s="216"/>
      <c r="I11" s="216"/>
    </row>
    <row r="12" spans="1:9" x14ac:dyDescent="0.2">
      <c r="A12" s="216"/>
      <c r="B12" s="216"/>
      <c r="C12" s="216"/>
      <c r="D12" s="216"/>
      <c r="E12" s="216"/>
      <c r="F12" s="216"/>
      <c r="G12" s="216"/>
      <c r="H12" s="216"/>
      <c r="I12" s="216"/>
    </row>
    <row r="13" spans="1:9" x14ac:dyDescent="0.2">
      <c r="A13" s="216"/>
      <c r="B13" s="216"/>
      <c r="C13" s="216"/>
      <c r="D13" s="216"/>
      <c r="E13" s="216"/>
      <c r="F13" s="216"/>
      <c r="G13" s="216"/>
      <c r="H13" s="216"/>
      <c r="I13" s="216"/>
    </row>
    <row r="14" spans="1:9" x14ac:dyDescent="0.2">
      <c r="A14" s="216"/>
      <c r="B14" s="216"/>
      <c r="C14" s="216"/>
      <c r="D14" s="216"/>
      <c r="E14" s="216"/>
      <c r="F14" s="216"/>
      <c r="G14" s="216"/>
      <c r="H14" s="216"/>
      <c r="I14" s="216"/>
    </row>
    <row r="15" spans="1:9" x14ac:dyDescent="0.2">
      <c r="A15" s="216"/>
      <c r="B15" s="216"/>
      <c r="C15" s="216"/>
      <c r="D15" s="216"/>
      <c r="E15" s="216"/>
      <c r="F15" s="216"/>
      <c r="G15" s="216"/>
      <c r="H15" s="216"/>
      <c r="I15" s="216"/>
    </row>
    <row r="16" spans="1:9" x14ac:dyDescent="0.2">
      <c r="A16" s="216"/>
      <c r="B16" s="216"/>
      <c r="C16" s="216"/>
      <c r="D16" s="216"/>
      <c r="E16" s="216"/>
      <c r="F16" s="216"/>
      <c r="G16" s="216"/>
      <c r="H16" s="216"/>
      <c r="I16" s="216"/>
    </row>
    <row r="17" spans="1:9" x14ac:dyDescent="0.2">
      <c r="A17" s="216"/>
      <c r="B17" s="216"/>
      <c r="C17" s="216"/>
      <c r="D17" s="216"/>
      <c r="E17" s="216"/>
      <c r="F17" s="216"/>
      <c r="G17" s="216"/>
      <c r="H17" s="216"/>
      <c r="I17" s="216"/>
    </row>
    <row r="18" spans="1:9" x14ac:dyDescent="0.2">
      <c r="A18" s="216"/>
      <c r="B18" s="216"/>
      <c r="C18" s="216"/>
      <c r="D18" s="216"/>
      <c r="E18" s="216"/>
      <c r="F18" s="216"/>
      <c r="G18" s="216"/>
      <c r="H18" s="216"/>
      <c r="I18" s="216"/>
    </row>
    <row r="19" spans="1:9" x14ac:dyDescent="0.2">
      <c r="A19" s="216"/>
      <c r="B19" s="216"/>
      <c r="C19" s="216"/>
      <c r="D19" s="216"/>
      <c r="E19" s="216"/>
      <c r="F19" s="216"/>
      <c r="G19" s="216"/>
      <c r="H19" s="216"/>
      <c r="I19" s="216"/>
    </row>
    <row r="20" spans="1:9" x14ac:dyDescent="0.2">
      <c r="A20" s="216"/>
      <c r="B20" s="216"/>
      <c r="C20" s="216"/>
      <c r="D20" s="216"/>
      <c r="E20" s="216"/>
      <c r="F20" s="216"/>
      <c r="G20" s="216"/>
      <c r="H20" s="216"/>
      <c r="I20" s="216"/>
    </row>
    <row r="21" spans="1:9" x14ac:dyDescent="0.2">
      <c r="A21" s="216"/>
      <c r="B21" s="216"/>
      <c r="C21" s="216"/>
      <c r="D21" s="216"/>
      <c r="E21" s="216"/>
      <c r="F21" s="216"/>
      <c r="G21" s="216"/>
      <c r="H21" s="216"/>
      <c r="I21" s="216"/>
    </row>
    <row r="22" spans="1:9" x14ac:dyDescent="0.2">
      <c r="A22" s="216"/>
      <c r="B22" s="216"/>
      <c r="C22" s="216"/>
      <c r="D22" s="216"/>
      <c r="E22" s="216"/>
      <c r="F22" s="216"/>
      <c r="G22" s="216"/>
      <c r="H22" s="216"/>
      <c r="I22" s="216"/>
    </row>
    <row r="23" spans="1:9" x14ac:dyDescent="0.2">
      <c r="A23" s="216"/>
      <c r="B23" s="216"/>
      <c r="C23" s="216"/>
      <c r="D23" s="216"/>
      <c r="E23" s="216"/>
      <c r="F23" s="216"/>
      <c r="G23" s="216"/>
      <c r="H23" s="216"/>
      <c r="I23" s="216"/>
    </row>
    <row r="24" spans="1:9" x14ac:dyDescent="0.2">
      <c r="A24" s="216"/>
      <c r="B24" s="216"/>
      <c r="C24" s="216"/>
      <c r="D24" s="216"/>
      <c r="E24" s="216"/>
      <c r="F24" s="216"/>
      <c r="G24" s="216"/>
      <c r="H24" s="216"/>
      <c r="I24" s="216"/>
    </row>
    <row r="25" spans="1:9" x14ac:dyDescent="0.2">
      <c r="A25" s="216"/>
      <c r="B25" s="216"/>
      <c r="C25" s="216"/>
      <c r="D25" s="216"/>
      <c r="E25" s="216"/>
      <c r="F25" s="216"/>
      <c r="G25" s="216"/>
      <c r="H25" s="216"/>
      <c r="I25" s="216"/>
    </row>
    <row r="26" spans="1:9" x14ac:dyDescent="0.2">
      <c r="A26" s="216"/>
      <c r="B26" s="216"/>
      <c r="C26" s="216"/>
      <c r="D26" s="216"/>
      <c r="E26" s="216"/>
      <c r="F26" s="216"/>
      <c r="G26" s="216"/>
      <c r="H26" s="216"/>
      <c r="I26" s="216"/>
    </row>
    <row r="27" spans="1:9" x14ac:dyDescent="0.2">
      <c r="A27" s="216"/>
      <c r="B27" s="216"/>
      <c r="C27" s="216"/>
      <c r="D27" s="216"/>
      <c r="E27" s="216"/>
      <c r="F27" s="216"/>
      <c r="G27" s="216"/>
      <c r="H27" s="216"/>
      <c r="I27" s="216"/>
    </row>
    <row r="28" spans="1:9" x14ac:dyDescent="0.2">
      <c r="A28" s="216"/>
      <c r="B28" s="216"/>
      <c r="C28" s="216"/>
      <c r="D28" s="216"/>
      <c r="E28" s="216"/>
      <c r="F28" s="216"/>
      <c r="G28" s="216"/>
      <c r="H28" s="216"/>
      <c r="I28" s="216"/>
    </row>
    <row r="29" spans="1:9" x14ac:dyDescent="0.2">
      <c r="A29" s="216"/>
      <c r="B29" s="216"/>
      <c r="C29" s="216"/>
      <c r="D29" s="216"/>
      <c r="E29" s="216"/>
      <c r="F29" s="216"/>
      <c r="G29" s="216"/>
      <c r="H29" s="216"/>
      <c r="I29" s="216"/>
    </row>
    <row r="30" spans="1:9" x14ac:dyDescent="0.2">
      <c r="A30" s="216"/>
      <c r="B30" s="216"/>
      <c r="C30" s="216"/>
      <c r="D30" s="216"/>
      <c r="E30" s="216"/>
      <c r="F30" s="216"/>
      <c r="G30" s="216"/>
      <c r="H30" s="216"/>
      <c r="I30" s="216"/>
    </row>
    <row r="31" spans="1:9" x14ac:dyDescent="0.2">
      <c r="A31" s="216"/>
      <c r="B31" s="216"/>
      <c r="C31" s="216"/>
      <c r="D31" s="216"/>
      <c r="E31" s="216"/>
      <c r="F31" s="216"/>
      <c r="G31" s="216"/>
      <c r="H31" s="216"/>
      <c r="I31" s="216"/>
    </row>
    <row r="32" spans="1:9" x14ac:dyDescent="0.2">
      <c r="A32" s="216"/>
      <c r="B32" s="216"/>
      <c r="C32" s="216"/>
      <c r="D32" s="216"/>
      <c r="E32" s="216"/>
      <c r="F32" s="216"/>
      <c r="G32" s="216"/>
      <c r="H32" s="216"/>
      <c r="I32" s="216"/>
    </row>
    <row r="33" spans="1:9" x14ac:dyDescent="0.2">
      <c r="A33" s="216"/>
      <c r="B33" s="216"/>
      <c r="C33" s="216"/>
      <c r="D33" s="216"/>
      <c r="E33" s="216"/>
      <c r="F33" s="216"/>
      <c r="G33" s="216"/>
      <c r="H33" s="216"/>
      <c r="I33" s="216"/>
    </row>
    <row r="34" spans="1:9" x14ac:dyDescent="0.2">
      <c r="A34" s="216"/>
      <c r="B34" s="216"/>
      <c r="C34" s="216"/>
      <c r="D34" s="216"/>
      <c r="E34" s="216"/>
      <c r="F34" s="216"/>
      <c r="G34" s="216"/>
      <c r="H34" s="216"/>
      <c r="I34" s="216"/>
    </row>
    <row r="35" spans="1:9" x14ac:dyDescent="0.2">
      <c r="A35" s="216"/>
      <c r="B35" s="216"/>
      <c r="C35" s="216"/>
      <c r="D35" s="216"/>
      <c r="E35" s="216"/>
      <c r="F35" s="216"/>
      <c r="G35" s="216"/>
      <c r="H35" s="216"/>
      <c r="I35" s="216"/>
    </row>
    <row r="36" spans="1:9" x14ac:dyDescent="0.2">
      <c r="A36" s="147"/>
      <c r="B36" s="147"/>
      <c r="C36" s="147"/>
      <c r="D36" s="147"/>
      <c r="E36" s="147"/>
      <c r="F36" s="147"/>
      <c r="G36" s="147"/>
      <c r="H36" s="147"/>
      <c r="I36" s="147"/>
    </row>
  </sheetData>
  <mergeCells count="2">
    <mergeCell ref="A1:I1"/>
    <mergeCell ref="A3:I35"/>
  </mergeCells>
  <printOptions gridLines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opLeftCell="A12" zoomScale="110" zoomScaleNormal="110" workbookViewId="0">
      <selection activeCell="B35" sqref="B35"/>
    </sheetView>
  </sheetViews>
  <sheetFormatPr defaultColWidth="11.85546875" defaultRowHeight="12.75" x14ac:dyDescent="0.2"/>
  <cols>
    <col min="1" max="1" width="43.28515625" customWidth="1"/>
    <col min="2" max="2" width="12.140625" customWidth="1"/>
  </cols>
  <sheetData>
    <row r="1" spans="1:3" x14ac:dyDescent="0.2">
      <c r="A1" s="172" t="s">
        <v>764</v>
      </c>
      <c r="B1" s="1" t="s">
        <v>477</v>
      </c>
    </row>
    <row r="2" spans="1:3" x14ac:dyDescent="0.2">
      <c r="A2" s="1"/>
      <c r="B2" s="1"/>
    </row>
    <row r="3" spans="1:3" s="6" customFormat="1" x14ac:dyDescent="0.2">
      <c r="A3" s="6" t="s">
        <v>762</v>
      </c>
      <c r="B3" s="43">
        <f xml:space="preserve"> '20MGD 60Effect Evaporator Cost'!I28</f>
        <v>26869167.919999998</v>
      </c>
      <c r="C3"/>
    </row>
    <row r="4" spans="1:3" x14ac:dyDescent="0.2">
      <c r="A4" t="s">
        <v>210</v>
      </c>
      <c r="B4" s="30">
        <f xml:space="preserve"> '20MGD 60Effect Evaporator Cost'!I30</f>
        <v>35360</v>
      </c>
    </row>
    <row r="5" spans="1:3" x14ac:dyDescent="0.2">
      <c r="A5" t="s">
        <v>211</v>
      </c>
      <c r="B5" s="30">
        <f xml:space="preserve"> '20MGD 60Effect VTE Excavation'!J4</f>
        <v>37925.925925925927</v>
      </c>
    </row>
    <row r="6" spans="1:3" x14ac:dyDescent="0.2">
      <c r="A6" t="s">
        <v>212</v>
      </c>
      <c r="B6" s="30">
        <f xml:space="preserve"> '20MGD 60Effect VTE Excavation'!J5</f>
        <v>13333.333333333334</v>
      </c>
    </row>
    <row r="7" spans="1:3" x14ac:dyDescent="0.2">
      <c r="A7" t="s">
        <v>213</v>
      </c>
      <c r="B7" s="30">
        <v>20000</v>
      </c>
    </row>
    <row r="8" spans="1:3" x14ac:dyDescent="0.2">
      <c r="A8" t="s">
        <v>214</v>
      </c>
      <c r="B8" s="30">
        <f xml:space="preserve"> 707000 * '20MGD 60Effect Pump Specs'!H10 / '5MGD 15 Effect Pump Specs kW'!H10</f>
        <v>1751840.943786683</v>
      </c>
    </row>
    <row r="9" spans="1:3" x14ac:dyDescent="0.2">
      <c r="A9" t="s">
        <v>215</v>
      </c>
      <c r="B9" s="30">
        <v>50000</v>
      </c>
    </row>
    <row r="10" spans="1:3" x14ac:dyDescent="0.2">
      <c r="A10" t="s">
        <v>216</v>
      </c>
      <c r="B10" s="30">
        <f xml:space="preserve"> 4 * 300000</f>
        <v>1200000</v>
      </c>
    </row>
    <row r="11" spans="1:3" x14ac:dyDescent="0.2">
      <c r="A11" t="s">
        <v>217</v>
      </c>
      <c r="B11" s="30">
        <f xml:space="preserve"> 4 *250000</f>
        <v>1000000</v>
      </c>
    </row>
    <row r="12" spans="1:3" x14ac:dyDescent="0.2">
      <c r="A12" t="s">
        <v>218</v>
      </c>
      <c r="B12" s="30">
        <f xml:space="preserve"> 4 * 100000</f>
        <v>400000</v>
      </c>
    </row>
    <row r="13" spans="1:3" x14ac:dyDescent="0.2">
      <c r="A13" t="s">
        <v>219</v>
      </c>
      <c r="B13" s="30">
        <f>50000</f>
        <v>50000</v>
      </c>
    </row>
    <row r="14" spans="1:3" x14ac:dyDescent="0.2">
      <c r="A14" t="s">
        <v>220</v>
      </c>
      <c r="B14" s="30">
        <f xml:space="preserve"> 4*10000</f>
        <v>40000</v>
      </c>
    </row>
    <row r="15" spans="1:3" x14ac:dyDescent="0.2">
      <c r="A15" s="1" t="s">
        <v>221</v>
      </c>
      <c r="B15" s="28">
        <f>SUM(B3:B14)</f>
        <v>31467628.12304594</v>
      </c>
    </row>
    <row r="16" spans="1:3" x14ac:dyDescent="0.2">
      <c r="B16" s="30"/>
    </row>
    <row r="17" spans="1:2" x14ac:dyDescent="0.2">
      <c r="A17" t="s">
        <v>222</v>
      </c>
      <c r="B17" s="30">
        <f>$B$15*0.015</f>
        <v>472014.42184568907</v>
      </c>
    </row>
    <row r="18" spans="1:2" x14ac:dyDescent="0.2">
      <c r="A18" t="s">
        <v>223</v>
      </c>
      <c r="B18" s="30">
        <f>$B$15*0.005</f>
        <v>157338.1406152297</v>
      </c>
    </row>
    <row r="19" spans="1:2" x14ac:dyDescent="0.2">
      <c r="A19" t="s">
        <v>224</v>
      </c>
      <c r="B19" s="30">
        <v>167000</v>
      </c>
    </row>
    <row r="20" spans="1:2" x14ac:dyDescent="0.2">
      <c r="A20" t="s">
        <v>225</v>
      </c>
      <c r="B20" s="30">
        <f>2*367000</f>
        <v>734000</v>
      </c>
    </row>
    <row r="21" spans="1:2" x14ac:dyDescent="0.2">
      <c r="A21" s="1" t="s">
        <v>226</v>
      </c>
      <c r="B21" s="28">
        <f>SUM(B17:B20)</f>
        <v>1530352.5624609189</v>
      </c>
    </row>
    <row r="22" spans="1:2" x14ac:dyDescent="0.2">
      <c r="B22" s="30"/>
    </row>
    <row r="23" spans="1:2" x14ac:dyDescent="0.2">
      <c r="A23" t="s">
        <v>227</v>
      </c>
      <c r="B23" s="30">
        <f>0.15*(B15+B21)</f>
        <v>4949697.1028260281</v>
      </c>
    </row>
    <row r="24" spans="1:2" x14ac:dyDescent="0.2">
      <c r="A24" s="1" t="s">
        <v>228</v>
      </c>
      <c r="B24" s="28">
        <f>SUM(B15,B21,B23)</f>
        <v>37947677.788332887</v>
      </c>
    </row>
    <row r="25" spans="1:2" x14ac:dyDescent="0.2">
      <c r="B25" s="30"/>
    </row>
    <row r="26" spans="1:2" x14ac:dyDescent="0.2">
      <c r="A26" t="s">
        <v>229</v>
      </c>
      <c r="B26" s="30">
        <f>B15*0.015</f>
        <v>472014.42184568907</v>
      </c>
    </row>
    <row r="27" spans="1:2" x14ac:dyDescent="0.2">
      <c r="A27" t="s">
        <v>230</v>
      </c>
      <c r="B27" s="30">
        <f>$B$24*0.05</f>
        <v>1897383.8894166443</v>
      </c>
    </row>
    <row r="28" spans="1:2" x14ac:dyDescent="0.2">
      <c r="A28" t="s">
        <v>312</v>
      </c>
      <c r="B28" s="30">
        <f>$B$24*0.08</f>
        <v>3035814.2230666312</v>
      </c>
    </row>
    <row r="29" spans="1:2" s="1" customFormat="1" x14ac:dyDescent="0.2">
      <c r="A29" s="1" t="s">
        <v>231</v>
      </c>
      <c r="B29" s="28">
        <f>SUM(B24,B26:B28)</f>
        <v>43352890.322661847</v>
      </c>
    </row>
    <row r="30" spans="1:2" x14ac:dyDescent="0.2">
      <c r="B30" s="30"/>
    </row>
    <row r="31" spans="1:2" x14ac:dyDescent="0.2">
      <c r="A31" t="s">
        <v>232</v>
      </c>
      <c r="B31" s="30">
        <f>$B$29*0.08</f>
        <v>3468231.2258129478</v>
      </c>
    </row>
    <row r="32" spans="1:2" x14ac:dyDescent="0.2">
      <c r="A32" t="s">
        <v>233</v>
      </c>
      <c r="B32" s="30">
        <f>$B$29*0.1</f>
        <v>4335289.0322661847</v>
      </c>
    </row>
    <row r="33" spans="1:2" x14ac:dyDescent="0.2">
      <c r="A33" s="1" t="s">
        <v>234</v>
      </c>
      <c r="B33" s="28">
        <f>SUM(B29,B31:B32)</f>
        <v>51156410.580740981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zoomScale="110" zoomScaleNormal="110" workbookViewId="0">
      <selection activeCell="B6" sqref="B6"/>
    </sheetView>
  </sheetViews>
  <sheetFormatPr defaultColWidth="11.85546875" defaultRowHeight="12.75" x14ac:dyDescent="0.2"/>
  <cols>
    <col min="1" max="1" width="23.42578125" customWidth="1"/>
    <col min="2" max="2" width="9.5703125" customWidth="1"/>
    <col min="3" max="3" width="6.42578125" customWidth="1"/>
    <col min="4" max="4" width="9.5703125" customWidth="1"/>
    <col min="5" max="5" width="5.140625" customWidth="1"/>
    <col min="6" max="6" width="12.5703125" customWidth="1"/>
    <col min="7" max="7" width="6.42578125" customWidth="1"/>
    <col min="8" max="8" width="10.42578125" customWidth="1"/>
    <col min="9" max="9" width="5.42578125" customWidth="1"/>
    <col min="10" max="10" width="11.42578125" customWidth="1"/>
  </cols>
  <sheetData>
    <row r="1" spans="1:10" x14ac:dyDescent="0.2">
      <c r="A1" s="1" t="s">
        <v>0</v>
      </c>
      <c r="B1" s="1" t="s">
        <v>235</v>
      </c>
      <c r="C1" s="1" t="s">
        <v>107</v>
      </c>
      <c r="D1" s="1" t="s">
        <v>236</v>
      </c>
      <c r="E1" s="1" t="s">
        <v>107</v>
      </c>
      <c r="F1" s="1" t="s">
        <v>237</v>
      </c>
      <c r="G1" s="1" t="s">
        <v>107</v>
      </c>
      <c r="H1" s="1" t="s">
        <v>238</v>
      </c>
      <c r="I1" s="1" t="s">
        <v>107</v>
      </c>
      <c r="J1" s="1" t="s">
        <v>106</v>
      </c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idden="1" x14ac:dyDescent="0.2">
      <c r="A3" t="s">
        <v>239</v>
      </c>
      <c r="B3" s="5">
        <v>1800</v>
      </c>
      <c r="C3" t="s">
        <v>240</v>
      </c>
      <c r="D3">
        <v>4</v>
      </c>
      <c r="E3" s="5" t="s">
        <v>241</v>
      </c>
      <c r="F3" s="5">
        <f>B3*D3/12</f>
        <v>600</v>
      </c>
      <c r="G3" s="5" t="s">
        <v>242</v>
      </c>
      <c r="H3" s="10">
        <v>106</v>
      </c>
      <c r="I3" s="5" t="s">
        <v>242</v>
      </c>
      <c r="J3" s="30">
        <f>F3*H3</f>
        <v>63600</v>
      </c>
    </row>
    <row r="4" spans="1:10" x14ac:dyDescent="0.2">
      <c r="A4" t="s">
        <v>211</v>
      </c>
      <c r="B4">
        <v>8</v>
      </c>
      <c r="C4" t="s">
        <v>170</v>
      </c>
      <c r="D4" s="3">
        <f>20*2*8</f>
        <v>320</v>
      </c>
      <c r="E4" s="5" t="s">
        <v>242</v>
      </c>
      <c r="F4" s="15">
        <f>B4*D4/27</f>
        <v>94.81481481481481</v>
      </c>
      <c r="G4" t="s">
        <v>243</v>
      </c>
      <c r="H4" s="10">
        <v>400</v>
      </c>
      <c r="I4" t="s">
        <v>243</v>
      </c>
      <c r="J4" s="30">
        <f>F4*H4</f>
        <v>37925.925925925927</v>
      </c>
    </row>
    <row r="5" spans="1:10" x14ac:dyDescent="0.2">
      <c r="A5" t="s">
        <v>212</v>
      </c>
      <c r="B5">
        <v>8</v>
      </c>
      <c r="C5" t="s">
        <v>170</v>
      </c>
      <c r="D5" s="3">
        <f>25*6*6</f>
        <v>900</v>
      </c>
      <c r="E5" s="5" t="s">
        <v>242</v>
      </c>
      <c r="F5" s="15">
        <f>B5*D5/27</f>
        <v>266.66666666666669</v>
      </c>
      <c r="G5" t="s">
        <v>243</v>
      </c>
      <c r="H5" s="10">
        <v>50</v>
      </c>
      <c r="I5" t="s">
        <v>243</v>
      </c>
      <c r="J5" s="30">
        <f>F5*H5</f>
        <v>13333.333333333334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zoomScale="110" zoomScaleNormal="110" workbookViewId="0">
      <selection activeCell="C3" sqref="C3"/>
    </sheetView>
  </sheetViews>
  <sheetFormatPr defaultColWidth="11.5703125" defaultRowHeight="12.75" x14ac:dyDescent="0.2"/>
  <cols>
    <col min="1" max="1" width="14.710937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244</v>
      </c>
      <c r="B1" s="1" t="s">
        <v>245</v>
      </c>
      <c r="C1" s="1" t="s">
        <v>246</v>
      </c>
      <c r="D1" s="1" t="s">
        <v>247</v>
      </c>
      <c r="E1" s="1" t="s">
        <v>248</v>
      </c>
      <c r="F1" s="1" t="s">
        <v>249</v>
      </c>
      <c r="G1" s="1" t="s">
        <v>250</v>
      </c>
      <c r="H1" s="1" t="s">
        <v>251</v>
      </c>
    </row>
    <row r="2" spans="1:8" x14ac:dyDescent="0.2">
      <c r="C2" s="44" t="s">
        <v>252</v>
      </c>
      <c r="D2" s="44" t="s">
        <v>253</v>
      </c>
    </row>
    <row r="3" spans="1:8" x14ac:dyDescent="0.2">
      <c r="A3" t="s">
        <v>254</v>
      </c>
      <c r="B3">
        <f xml:space="preserve"> 60/5</f>
        <v>12</v>
      </c>
      <c r="C3" s="5">
        <v>4342</v>
      </c>
      <c r="D3">
        <v>80</v>
      </c>
      <c r="E3" s="7">
        <v>1.2</v>
      </c>
      <c r="F3" s="4">
        <v>0.75</v>
      </c>
      <c r="G3" s="3">
        <f>(C3*D3*E3)/(3960*F3)</f>
        <v>140.34747474747473</v>
      </c>
      <c r="H3" s="11">
        <f>B3*G3</f>
        <v>1684.1696969696968</v>
      </c>
    </row>
    <row r="4" spans="1:8" x14ac:dyDescent="0.2">
      <c r="A4" t="s">
        <v>255</v>
      </c>
      <c r="B4">
        <v>1</v>
      </c>
      <c r="C4" s="5">
        <v>4342</v>
      </c>
      <c r="D4">
        <v>90</v>
      </c>
      <c r="E4" s="7">
        <v>1.03</v>
      </c>
      <c r="F4" s="4">
        <v>0.82</v>
      </c>
      <c r="G4" s="3">
        <f t="shared" ref="G4:G9" si="0">(C4*D4*E4)/(3960*F4)</f>
        <v>123.95399113082041</v>
      </c>
      <c r="H4" s="11">
        <f t="shared" ref="H4:H9" si="1">B4*G4</f>
        <v>123.95399113082041</v>
      </c>
    </row>
    <row r="5" spans="1:8" x14ac:dyDescent="0.2">
      <c r="A5" t="s">
        <v>256</v>
      </c>
      <c r="B5">
        <v>1</v>
      </c>
      <c r="C5" s="5">
        <v>3472</v>
      </c>
      <c r="D5">
        <v>35</v>
      </c>
      <c r="E5" s="7">
        <v>1</v>
      </c>
      <c r="F5" s="4">
        <v>0.78</v>
      </c>
      <c r="G5" s="3">
        <f t="shared" si="0"/>
        <v>39.34213934213934</v>
      </c>
      <c r="H5" s="11">
        <f t="shared" si="1"/>
        <v>39.34213934213934</v>
      </c>
    </row>
    <row r="6" spans="1:8" x14ac:dyDescent="0.2">
      <c r="A6" t="s">
        <v>257</v>
      </c>
      <c r="B6">
        <v>1</v>
      </c>
      <c r="C6" s="5">
        <v>870</v>
      </c>
      <c r="D6">
        <v>35</v>
      </c>
      <c r="E6" s="7">
        <v>1.2</v>
      </c>
      <c r="F6" s="4">
        <v>0.65</v>
      </c>
      <c r="G6" s="3">
        <f t="shared" si="0"/>
        <v>14.195804195804195</v>
      </c>
      <c r="H6" s="11">
        <f t="shared" si="1"/>
        <v>14.195804195804195</v>
      </c>
    </row>
    <row r="7" spans="1:8" x14ac:dyDescent="0.2">
      <c r="A7" t="s">
        <v>258</v>
      </c>
      <c r="B7">
        <v>1</v>
      </c>
      <c r="C7" s="5">
        <v>260</v>
      </c>
      <c r="D7">
        <v>35</v>
      </c>
      <c r="E7" s="7">
        <v>1</v>
      </c>
      <c r="F7" s="4">
        <v>0.72</v>
      </c>
      <c r="G7" s="3">
        <f t="shared" si="0"/>
        <v>3.1916386083052752</v>
      </c>
      <c r="H7" s="11">
        <f t="shared" si="1"/>
        <v>3.1916386083052752</v>
      </c>
    </row>
    <row r="8" spans="1:8" x14ac:dyDescent="0.2">
      <c r="A8" t="s">
        <v>259</v>
      </c>
      <c r="B8">
        <v>1</v>
      </c>
      <c r="C8" s="5">
        <v>8500</v>
      </c>
      <c r="D8">
        <v>50</v>
      </c>
      <c r="E8" s="7">
        <v>1.03</v>
      </c>
      <c r="F8" s="4">
        <v>0.84</v>
      </c>
      <c r="G8" s="3">
        <f t="shared" si="0"/>
        <v>131.59872534872534</v>
      </c>
      <c r="H8" s="11">
        <f t="shared" si="1"/>
        <v>131.59872534872534</v>
      </c>
    </row>
    <row r="9" spans="1:8" x14ac:dyDescent="0.2">
      <c r="A9" t="s">
        <v>260</v>
      </c>
      <c r="B9">
        <v>1</v>
      </c>
      <c r="C9" s="5">
        <v>10000</v>
      </c>
      <c r="D9">
        <v>35</v>
      </c>
      <c r="E9" s="7">
        <v>1.03</v>
      </c>
      <c r="F9" s="4">
        <v>0.75</v>
      </c>
      <c r="G9" s="3">
        <f t="shared" si="0"/>
        <v>121.38047138047138</v>
      </c>
      <c r="H9" s="11">
        <f t="shared" si="1"/>
        <v>121.38047138047138</v>
      </c>
    </row>
    <row r="10" spans="1:8" x14ac:dyDescent="0.2">
      <c r="A10" s="1" t="s">
        <v>251</v>
      </c>
      <c r="C10" s="5"/>
      <c r="E10" s="7"/>
      <c r="F10" s="4"/>
      <c r="G10" s="45"/>
      <c r="H10" s="45">
        <f>SUM(H3:H9)</f>
        <v>2117.8324669759627</v>
      </c>
    </row>
    <row r="11" spans="1:8" x14ac:dyDescent="0.2">
      <c r="A11" s="1" t="s">
        <v>261</v>
      </c>
      <c r="C11" s="5"/>
      <c r="E11" s="7"/>
      <c r="F11" s="4"/>
      <c r="G11" s="5"/>
      <c r="H11" s="13">
        <f>H10*745.699872/1000</f>
        <v>1579.2673995414198</v>
      </c>
    </row>
    <row r="13" spans="1:8" x14ac:dyDescent="0.2">
      <c r="A13" t="s">
        <v>262</v>
      </c>
      <c r="C13" t="s">
        <v>263</v>
      </c>
      <c r="H13" s="5"/>
    </row>
    <row r="14" spans="1:8" x14ac:dyDescent="0.2">
      <c r="A14" t="s">
        <v>264</v>
      </c>
      <c r="C14" t="s">
        <v>265</v>
      </c>
    </row>
    <row r="15" spans="1:8" x14ac:dyDescent="0.2">
      <c r="A15" t="s">
        <v>266</v>
      </c>
      <c r="C15" t="s">
        <v>267</v>
      </c>
    </row>
    <row r="16" spans="1:8" x14ac:dyDescent="0.2">
      <c r="A16" t="s">
        <v>268</v>
      </c>
      <c r="C16" t="s">
        <v>269</v>
      </c>
    </row>
    <row r="17" spans="1:3" x14ac:dyDescent="0.2">
      <c r="A17" t="s">
        <v>270</v>
      </c>
      <c r="C17" t="s">
        <v>271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opLeftCell="A7" zoomScale="110" zoomScaleNormal="110" workbookViewId="0">
      <selection activeCell="A3" sqref="A3"/>
    </sheetView>
  </sheetViews>
  <sheetFormatPr defaultColWidth="11.5703125" defaultRowHeight="12.75" x14ac:dyDescent="0.2"/>
  <cols>
    <col min="1" max="1" width="28" customWidth="1"/>
    <col min="2" max="2" width="10" customWidth="1"/>
    <col min="3" max="3" width="12.42578125" customWidth="1"/>
    <col min="4" max="4" width="14.140625" customWidth="1"/>
    <col min="5" max="5" width="8" customWidth="1"/>
    <col min="7" max="7" width="5.5703125" customWidth="1"/>
    <col min="8" max="8" width="12.42578125" customWidth="1"/>
    <col min="9" max="9" width="13.28515625" customWidth="1"/>
  </cols>
  <sheetData>
    <row r="1" spans="1:9" s="1" customFormat="1" x14ac:dyDescent="0.2">
      <c r="A1" s="1" t="s">
        <v>272</v>
      </c>
      <c r="B1" s="1" t="s">
        <v>313</v>
      </c>
      <c r="C1" s="1" t="s">
        <v>273</v>
      </c>
      <c r="D1" s="1" t="s">
        <v>273</v>
      </c>
      <c r="E1" s="1" t="s">
        <v>314</v>
      </c>
      <c r="F1" s="1" t="s">
        <v>238</v>
      </c>
      <c r="G1" s="1" t="s">
        <v>107</v>
      </c>
      <c r="H1" s="1" t="s">
        <v>768</v>
      </c>
      <c r="I1" s="1" t="s">
        <v>106</v>
      </c>
    </row>
    <row r="2" spans="1:9" s="1" customFormat="1" x14ac:dyDescent="0.2">
      <c r="A2" s="1" t="s">
        <v>782</v>
      </c>
      <c r="B2" s="46" t="s">
        <v>274</v>
      </c>
      <c r="E2" s="46" t="s">
        <v>275</v>
      </c>
      <c r="F2" s="46"/>
      <c r="G2" s="46"/>
      <c r="H2" s="46" t="s">
        <v>767</v>
      </c>
    </row>
    <row r="3" spans="1:9" x14ac:dyDescent="0.2">
      <c r="A3" t="s">
        <v>276</v>
      </c>
      <c r="B3">
        <v>698</v>
      </c>
      <c r="C3" t="s">
        <v>277</v>
      </c>
      <c r="D3" t="s">
        <v>278</v>
      </c>
      <c r="E3" s="5">
        <f>B3*0.245</f>
        <v>171.01</v>
      </c>
      <c r="F3" s="10">
        <v>1600</v>
      </c>
      <c r="G3" s="30" t="s">
        <v>279</v>
      </c>
      <c r="H3" s="171">
        <f xml:space="preserve"> 60/15</f>
        <v>4</v>
      </c>
      <c r="I3" s="30">
        <f>E3*F3*H3</f>
        <v>1094464</v>
      </c>
    </row>
    <row r="4" spans="1:9" x14ac:dyDescent="0.2">
      <c r="A4" t="s">
        <v>280</v>
      </c>
      <c r="B4">
        <v>140</v>
      </c>
      <c r="C4" t="s">
        <v>277</v>
      </c>
      <c r="D4" t="s">
        <v>278</v>
      </c>
      <c r="E4" s="5">
        <f>B4*0.245</f>
        <v>34.299999999999997</v>
      </c>
      <c r="F4" s="10">
        <v>1600</v>
      </c>
      <c r="G4" s="30" t="s">
        <v>279</v>
      </c>
      <c r="H4" s="171">
        <f t="shared" ref="H4:H16" si="0" xml:space="preserve"> 60/15</f>
        <v>4</v>
      </c>
      <c r="I4" s="30">
        <f t="shared" ref="I4:I16" si="1">E4*F4*H4</f>
        <v>219519.99999999997</v>
      </c>
    </row>
    <row r="5" spans="1:9" x14ac:dyDescent="0.2">
      <c r="A5" t="s">
        <v>281</v>
      </c>
      <c r="B5">
        <v>24</v>
      </c>
      <c r="C5" t="s">
        <v>277</v>
      </c>
      <c r="D5" t="s">
        <v>278</v>
      </c>
      <c r="E5" s="5">
        <f>B5*0.245</f>
        <v>5.88</v>
      </c>
      <c r="F5" s="10">
        <v>1600</v>
      </c>
      <c r="G5" s="30" t="s">
        <v>279</v>
      </c>
      <c r="H5" s="171">
        <f t="shared" si="0"/>
        <v>4</v>
      </c>
      <c r="I5" s="30">
        <f t="shared" si="1"/>
        <v>37632</v>
      </c>
    </row>
    <row r="6" spans="1:9" x14ac:dyDescent="0.2">
      <c r="A6" t="s">
        <v>282</v>
      </c>
      <c r="B6">
        <v>8</v>
      </c>
      <c r="C6" t="s">
        <v>277</v>
      </c>
      <c r="D6" t="s">
        <v>278</v>
      </c>
      <c r="E6" s="5">
        <f>B6*0.245</f>
        <v>1.96</v>
      </c>
      <c r="F6" s="10">
        <v>1600</v>
      </c>
      <c r="G6" s="30" t="s">
        <v>279</v>
      </c>
      <c r="H6" s="171">
        <f t="shared" si="0"/>
        <v>4</v>
      </c>
      <c r="I6" s="30">
        <f t="shared" si="1"/>
        <v>12544</v>
      </c>
    </row>
    <row r="7" spans="1:9" x14ac:dyDescent="0.2">
      <c r="A7" t="s">
        <v>283</v>
      </c>
      <c r="B7">
        <v>116.3</v>
      </c>
      <c r="C7" t="s">
        <v>265</v>
      </c>
      <c r="D7" t="s">
        <v>265</v>
      </c>
      <c r="E7" s="5">
        <f t="shared" ref="E7:E14" si="2">B7*0.25</f>
        <v>29.074999999999999</v>
      </c>
      <c r="F7" s="10">
        <v>4420</v>
      </c>
      <c r="G7" s="30" t="s">
        <v>279</v>
      </c>
      <c r="H7" s="171">
        <f t="shared" si="0"/>
        <v>4</v>
      </c>
      <c r="I7" s="30">
        <f t="shared" si="1"/>
        <v>514046</v>
      </c>
    </row>
    <row r="8" spans="1:9" x14ac:dyDescent="0.2">
      <c r="A8" t="s">
        <v>284</v>
      </c>
      <c r="B8">
        <v>4</v>
      </c>
      <c r="C8" t="s">
        <v>265</v>
      </c>
      <c r="D8" t="s">
        <v>265</v>
      </c>
      <c r="E8" s="11">
        <f t="shared" si="2"/>
        <v>1</v>
      </c>
      <c r="F8" s="10">
        <v>4420</v>
      </c>
      <c r="G8" s="30" t="s">
        <v>279</v>
      </c>
      <c r="H8" s="171">
        <f t="shared" si="0"/>
        <v>4</v>
      </c>
      <c r="I8" s="30">
        <f t="shared" si="1"/>
        <v>17680</v>
      </c>
    </row>
    <row r="9" spans="1:9" x14ac:dyDescent="0.2">
      <c r="A9" t="s">
        <v>285</v>
      </c>
      <c r="B9">
        <v>2</v>
      </c>
      <c r="C9" t="s">
        <v>265</v>
      </c>
      <c r="D9" t="s">
        <v>265</v>
      </c>
      <c r="E9" s="11">
        <f t="shared" si="2"/>
        <v>0.5</v>
      </c>
      <c r="F9" s="10">
        <v>4420</v>
      </c>
      <c r="G9" s="30" t="s">
        <v>279</v>
      </c>
      <c r="H9" s="171">
        <f t="shared" si="0"/>
        <v>4</v>
      </c>
      <c r="I9" s="30">
        <f t="shared" si="1"/>
        <v>8840</v>
      </c>
    </row>
    <row r="10" spans="1:9" x14ac:dyDescent="0.2">
      <c r="A10" t="s">
        <v>286</v>
      </c>
      <c r="B10">
        <v>1</v>
      </c>
      <c r="C10" t="s">
        <v>265</v>
      </c>
      <c r="D10" t="s">
        <v>265</v>
      </c>
      <c r="E10" s="11">
        <f t="shared" si="2"/>
        <v>0.25</v>
      </c>
      <c r="F10" s="10">
        <v>4420</v>
      </c>
      <c r="G10" s="30" t="s">
        <v>279</v>
      </c>
      <c r="H10" s="171">
        <f t="shared" si="0"/>
        <v>4</v>
      </c>
      <c r="I10" s="30">
        <f t="shared" si="1"/>
        <v>4420</v>
      </c>
    </row>
    <row r="11" spans="1:9" x14ac:dyDescent="0.2">
      <c r="A11" t="s">
        <v>287</v>
      </c>
      <c r="B11" s="5">
        <v>1433</v>
      </c>
      <c r="C11" t="s">
        <v>265</v>
      </c>
      <c r="D11" t="s">
        <v>265</v>
      </c>
      <c r="E11" s="5">
        <f t="shared" si="2"/>
        <v>358.25</v>
      </c>
      <c r="F11" s="10">
        <v>4420</v>
      </c>
      <c r="G11" s="30" t="s">
        <v>279</v>
      </c>
      <c r="H11" s="171">
        <f t="shared" si="0"/>
        <v>4</v>
      </c>
      <c r="I11" s="30">
        <f>E11*F11*H11</f>
        <v>6333860</v>
      </c>
    </row>
    <row r="12" spans="1:9" x14ac:dyDescent="0.2">
      <c r="A12" t="s">
        <v>288</v>
      </c>
      <c r="B12" s="5">
        <v>147</v>
      </c>
      <c r="C12" t="s">
        <v>265</v>
      </c>
      <c r="D12" t="s">
        <v>265</v>
      </c>
      <c r="E12" s="5">
        <f t="shared" si="2"/>
        <v>36.75</v>
      </c>
      <c r="F12" s="10">
        <v>4420</v>
      </c>
      <c r="G12" s="30" t="s">
        <v>279</v>
      </c>
      <c r="H12" s="171">
        <f t="shared" si="0"/>
        <v>4</v>
      </c>
      <c r="I12" s="30">
        <f t="shared" si="1"/>
        <v>649740</v>
      </c>
    </row>
    <row r="13" spans="1:9" x14ac:dyDescent="0.2">
      <c r="A13" t="s">
        <v>289</v>
      </c>
      <c r="B13" s="5">
        <v>110</v>
      </c>
      <c r="C13" t="s">
        <v>265</v>
      </c>
      <c r="D13" t="s">
        <v>265</v>
      </c>
      <c r="E13" s="5">
        <f t="shared" si="2"/>
        <v>27.5</v>
      </c>
      <c r="F13" s="10">
        <v>4420</v>
      </c>
      <c r="G13" s="30" t="s">
        <v>279</v>
      </c>
      <c r="H13" s="171">
        <f t="shared" si="0"/>
        <v>4</v>
      </c>
      <c r="I13" s="30">
        <f t="shared" si="1"/>
        <v>486200</v>
      </c>
    </row>
    <row r="14" spans="1:9" x14ac:dyDescent="0.2">
      <c r="A14" t="s">
        <v>290</v>
      </c>
      <c r="B14" s="5">
        <v>2160</v>
      </c>
      <c r="C14" t="s">
        <v>265</v>
      </c>
      <c r="D14" t="s">
        <v>265</v>
      </c>
      <c r="E14" s="5">
        <f t="shared" si="2"/>
        <v>540</v>
      </c>
      <c r="F14" s="10">
        <v>4420</v>
      </c>
      <c r="G14" s="30" t="s">
        <v>279</v>
      </c>
      <c r="H14" s="171">
        <f t="shared" si="0"/>
        <v>4</v>
      </c>
      <c r="I14" s="30">
        <f t="shared" si="1"/>
        <v>9547200</v>
      </c>
    </row>
    <row r="15" spans="1:9" x14ac:dyDescent="0.2">
      <c r="A15" t="s">
        <v>291</v>
      </c>
      <c r="B15" s="5">
        <v>1320</v>
      </c>
      <c r="C15" t="s">
        <v>292</v>
      </c>
      <c r="D15" t="s">
        <v>293</v>
      </c>
      <c r="E15" s="5">
        <f>B15*0.251</f>
        <v>331.32</v>
      </c>
      <c r="F15" s="10">
        <v>3454</v>
      </c>
      <c r="G15" s="30" t="s">
        <v>279</v>
      </c>
      <c r="H15" s="171">
        <f t="shared" si="0"/>
        <v>4</v>
      </c>
      <c r="I15" s="30">
        <f t="shared" si="1"/>
        <v>4577517.12</v>
      </c>
    </row>
    <row r="16" spans="1:9" x14ac:dyDescent="0.2">
      <c r="A16" t="s">
        <v>294</v>
      </c>
      <c r="B16" s="5">
        <v>360</v>
      </c>
      <c r="C16" t="s">
        <v>295</v>
      </c>
      <c r="D16" t="s">
        <v>265</v>
      </c>
      <c r="E16" s="5">
        <v>3</v>
      </c>
      <c r="F16" s="10">
        <v>21600</v>
      </c>
      <c r="G16" s="30" t="s">
        <v>279</v>
      </c>
      <c r="H16" s="171">
        <f t="shared" si="0"/>
        <v>4</v>
      </c>
      <c r="I16" s="30">
        <f t="shared" si="1"/>
        <v>259200</v>
      </c>
    </row>
    <row r="17" spans="1:12" x14ac:dyDescent="0.2">
      <c r="B17" s="47" t="s">
        <v>253</v>
      </c>
      <c r="E17" s="5"/>
      <c r="F17" s="10"/>
      <c r="G17" s="30"/>
      <c r="H17" s="30"/>
      <c r="I17" s="30"/>
    </row>
    <row r="18" spans="1:12" x14ac:dyDescent="0.2">
      <c r="A18" t="s">
        <v>296</v>
      </c>
      <c r="B18" s="5">
        <v>1860</v>
      </c>
      <c r="C18" t="s">
        <v>297</v>
      </c>
      <c r="D18" t="s">
        <v>298</v>
      </c>
      <c r="E18" s="5">
        <f>B18*45/2000</f>
        <v>41.85</v>
      </c>
      <c r="F18" s="10">
        <v>1540</v>
      </c>
      <c r="G18" s="30" t="s">
        <v>279</v>
      </c>
      <c r="H18" s="171">
        <f t="shared" ref="H18:H20" si="3" xml:space="preserve"> 60/15</f>
        <v>4</v>
      </c>
      <c r="I18" s="30">
        <f t="shared" ref="I18:I20" si="4">E18*F18*H18</f>
        <v>257796</v>
      </c>
    </row>
    <row r="19" spans="1:12" x14ac:dyDescent="0.2">
      <c r="A19" t="s">
        <v>283</v>
      </c>
      <c r="B19" s="5">
        <v>192</v>
      </c>
      <c r="C19" t="s">
        <v>297</v>
      </c>
      <c r="D19" t="s">
        <v>298</v>
      </c>
      <c r="E19" s="5">
        <f>B19*45/2000</f>
        <v>4.32</v>
      </c>
      <c r="F19" s="10">
        <v>1540</v>
      </c>
      <c r="G19" s="30" t="s">
        <v>279</v>
      </c>
      <c r="H19" s="171">
        <f t="shared" si="3"/>
        <v>4</v>
      </c>
      <c r="I19" s="30">
        <f t="shared" si="4"/>
        <v>26611.200000000001</v>
      </c>
    </row>
    <row r="20" spans="1:12" x14ac:dyDescent="0.2">
      <c r="A20" t="s">
        <v>283</v>
      </c>
      <c r="B20" s="5">
        <v>384</v>
      </c>
      <c r="C20" t="s">
        <v>297</v>
      </c>
      <c r="D20" t="s">
        <v>298</v>
      </c>
      <c r="E20" s="5">
        <f>B20*45/2000</f>
        <v>8.64</v>
      </c>
      <c r="F20" s="10">
        <v>1540</v>
      </c>
      <c r="G20" s="30" t="s">
        <v>279</v>
      </c>
      <c r="H20" s="171">
        <f t="shared" si="3"/>
        <v>4</v>
      </c>
      <c r="I20" s="30">
        <f t="shared" si="4"/>
        <v>53222.400000000001</v>
      </c>
    </row>
    <row r="22" spans="1:12" x14ac:dyDescent="0.2">
      <c r="A22" t="s">
        <v>299</v>
      </c>
      <c r="B22">
        <v>15</v>
      </c>
      <c r="C22" t="s">
        <v>265</v>
      </c>
      <c r="D22" t="s">
        <v>300</v>
      </c>
      <c r="E22">
        <v>1</v>
      </c>
      <c r="F22" s="2">
        <v>477528.75</v>
      </c>
      <c r="G22" s="30" t="s">
        <v>170</v>
      </c>
      <c r="H22" s="171">
        <f t="shared" ref="H22:H26" si="5" xml:space="preserve"> 60/15</f>
        <v>4</v>
      </c>
      <c r="I22" s="30">
        <f>E22*F22*H22</f>
        <v>1910115</v>
      </c>
      <c r="L22" s="30"/>
    </row>
    <row r="23" spans="1:12" x14ac:dyDescent="0.2">
      <c r="A23" t="s">
        <v>301</v>
      </c>
      <c r="B23">
        <v>15</v>
      </c>
      <c r="C23" t="s">
        <v>265</v>
      </c>
      <c r="D23" t="s">
        <v>265</v>
      </c>
      <c r="E23" s="5">
        <f>B23</f>
        <v>15</v>
      </c>
      <c r="F23" s="10">
        <v>2666.67</v>
      </c>
      <c r="G23" s="30" t="s">
        <v>170</v>
      </c>
      <c r="H23" s="171">
        <f t="shared" si="5"/>
        <v>4</v>
      </c>
      <c r="I23" s="30">
        <f t="shared" ref="I23:I26" si="6">E23*F23*H23</f>
        <v>160000.20000000001</v>
      </c>
    </row>
    <row r="24" spans="1:12" x14ac:dyDescent="0.2">
      <c r="A24" t="s">
        <v>302</v>
      </c>
      <c r="C24" t="s">
        <v>303</v>
      </c>
      <c r="D24" t="s">
        <v>304</v>
      </c>
      <c r="E24">
        <v>1</v>
      </c>
      <c r="F24" s="10">
        <v>40000</v>
      </c>
      <c r="H24" s="171">
        <f t="shared" si="5"/>
        <v>4</v>
      </c>
      <c r="I24" s="30">
        <f>E24*F24*H24</f>
        <v>160000</v>
      </c>
    </row>
    <row r="25" spans="1:12" x14ac:dyDescent="0.2">
      <c r="A25" t="s">
        <v>305</v>
      </c>
      <c r="B25" s="5">
        <v>6664</v>
      </c>
      <c r="C25" t="s">
        <v>306</v>
      </c>
      <c r="D25" t="s">
        <v>293</v>
      </c>
      <c r="E25" s="5">
        <f>B25</f>
        <v>6664</v>
      </c>
      <c r="F25" s="10">
        <v>10</v>
      </c>
      <c r="G25" s="30" t="s">
        <v>170</v>
      </c>
      <c r="H25" s="171">
        <f t="shared" si="5"/>
        <v>4</v>
      </c>
      <c r="I25" s="30">
        <f t="shared" si="6"/>
        <v>266560</v>
      </c>
    </row>
    <row r="26" spans="1:12" x14ac:dyDescent="0.2">
      <c r="A26" t="s">
        <v>307</v>
      </c>
      <c r="B26">
        <v>680</v>
      </c>
      <c r="E26" s="5">
        <f>B26</f>
        <v>680</v>
      </c>
      <c r="F26" s="10">
        <v>100</v>
      </c>
      <c r="G26" s="30" t="s">
        <v>170</v>
      </c>
      <c r="H26" s="171">
        <f t="shared" si="5"/>
        <v>4</v>
      </c>
      <c r="I26" s="30">
        <f t="shared" si="6"/>
        <v>272000</v>
      </c>
    </row>
    <row r="27" spans="1:12" x14ac:dyDescent="0.2">
      <c r="I27" s="30"/>
    </row>
    <row r="28" spans="1:12" s="1" customFormat="1" x14ac:dyDescent="0.2">
      <c r="A28" s="1" t="s">
        <v>309</v>
      </c>
      <c r="E28" s="13">
        <f>SUM(E3:E20)</f>
        <v>1595.6049999999998</v>
      </c>
      <c r="I28" s="28">
        <f>SUM(I3:I26)</f>
        <v>26869167.919999998</v>
      </c>
    </row>
    <row r="30" spans="1:12" x14ac:dyDescent="0.2">
      <c r="A30" t="s">
        <v>210</v>
      </c>
      <c r="B30">
        <v>31</v>
      </c>
      <c r="C30" t="s">
        <v>265</v>
      </c>
      <c r="D30" t="s">
        <v>265</v>
      </c>
      <c r="E30">
        <v>8</v>
      </c>
      <c r="F30" s="10">
        <v>4420</v>
      </c>
      <c r="G30" s="30" t="s">
        <v>279</v>
      </c>
      <c r="H30" s="30"/>
      <c r="I30" s="30">
        <f>E30*F30</f>
        <v>35360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Roman,Regular"&amp;12VTE Plant Materials Cost (2013 steel quotes)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110" zoomScaleNormal="110" workbookViewId="0">
      <selection activeCell="B4" sqref="B4"/>
    </sheetView>
  </sheetViews>
  <sheetFormatPr defaultColWidth="11.5703125" defaultRowHeight="12.75" x14ac:dyDescent="0.2"/>
  <cols>
    <col min="1" max="1" width="30.140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315</v>
      </c>
      <c r="B1" s="1" t="s">
        <v>245</v>
      </c>
      <c r="C1" s="1" t="s">
        <v>107</v>
      </c>
    </row>
    <row r="2" spans="1:8" x14ac:dyDescent="0.2">
      <c r="C2" s="44"/>
      <c r="D2" s="44"/>
    </row>
    <row r="3" spans="1:8" x14ac:dyDescent="0.2">
      <c r="A3" t="s">
        <v>316</v>
      </c>
      <c r="B3" s="5">
        <v>15</v>
      </c>
      <c r="C3" s="5"/>
      <c r="E3" s="7"/>
      <c r="F3" s="4"/>
      <c r="G3" s="3"/>
      <c r="H3" s="11"/>
    </row>
    <row r="4" spans="1:8" x14ac:dyDescent="0.2">
      <c r="A4" t="s">
        <v>317</v>
      </c>
      <c r="B4" s="5">
        <v>30</v>
      </c>
      <c r="C4" s="5" t="s">
        <v>318</v>
      </c>
      <c r="E4" s="7"/>
      <c r="F4" s="4"/>
      <c r="G4" s="3"/>
      <c r="H4" s="11"/>
    </row>
    <row r="5" spans="1:8" x14ac:dyDescent="0.2">
      <c r="A5" t="s">
        <v>319</v>
      </c>
      <c r="B5" s="5">
        <v>1340</v>
      </c>
      <c r="C5" s="5"/>
      <c r="E5" s="7"/>
      <c r="F5" s="4"/>
      <c r="G5" s="3"/>
      <c r="H5" s="11"/>
    </row>
    <row r="6" spans="1:8" ht="14.25" x14ac:dyDescent="0.2">
      <c r="A6" t="s">
        <v>320</v>
      </c>
      <c r="B6" s="5">
        <f xml:space="preserve"> B3/15 *31578</f>
        <v>31578</v>
      </c>
      <c r="C6" s="5" t="s">
        <v>321</v>
      </c>
      <c r="E6" s="7"/>
      <c r="F6" s="4"/>
      <c r="G6" s="3"/>
      <c r="H6" s="11"/>
    </row>
    <row r="7" spans="1:8" x14ac:dyDescent="0.2">
      <c r="A7" t="s">
        <v>322</v>
      </c>
      <c r="B7" s="5">
        <v>12</v>
      </c>
      <c r="C7" s="5" t="s">
        <v>318</v>
      </c>
      <c r="E7" s="7"/>
      <c r="F7" s="4"/>
      <c r="G7" s="3"/>
      <c r="H7" s="11"/>
    </row>
    <row r="8" spans="1:8" x14ac:dyDescent="0.2">
      <c r="A8" t="s">
        <v>323</v>
      </c>
      <c r="B8" s="5">
        <v>40</v>
      </c>
      <c r="C8" s="5" t="s">
        <v>318</v>
      </c>
      <c r="E8" s="7"/>
      <c r="F8" s="4"/>
      <c r="G8" s="3"/>
      <c r="H8" s="11"/>
    </row>
    <row r="9" spans="1:8" x14ac:dyDescent="0.2">
      <c r="A9" t="s">
        <v>324</v>
      </c>
      <c r="B9" s="5">
        <v>13</v>
      </c>
      <c r="C9" s="5" t="s">
        <v>318</v>
      </c>
      <c r="E9" s="7"/>
      <c r="F9" s="4"/>
      <c r="G9" s="3"/>
      <c r="H9" s="11"/>
    </row>
    <row r="10" spans="1:8" x14ac:dyDescent="0.2">
      <c r="A10" s="6" t="s">
        <v>325</v>
      </c>
      <c r="B10" s="5">
        <v>18</v>
      </c>
      <c r="C10" s="5" t="s">
        <v>318</v>
      </c>
      <c r="E10" s="7"/>
      <c r="F10" s="4"/>
      <c r="G10" s="45"/>
      <c r="H10" s="45"/>
    </row>
    <row r="11" spans="1:8" ht="14.25" x14ac:dyDescent="0.2">
      <c r="A11" s="6" t="s">
        <v>326</v>
      </c>
      <c r="B11" s="5">
        <v>120</v>
      </c>
      <c r="C11" s="5" t="s">
        <v>321</v>
      </c>
      <c r="E11" s="7"/>
      <c r="F11" s="4"/>
      <c r="G11" s="5"/>
      <c r="H11" s="13"/>
    </row>
    <row r="12" spans="1:8" x14ac:dyDescent="0.2">
      <c r="A12" t="s">
        <v>327</v>
      </c>
      <c r="B12" s="5">
        <v>3</v>
      </c>
      <c r="C12" t="s">
        <v>328</v>
      </c>
    </row>
    <row r="13" spans="1:8" x14ac:dyDescent="0.2">
      <c r="H13" s="5"/>
    </row>
    <row r="14" spans="1:8" x14ac:dyDescent="0.2">
      <c r="A14" t="s">
        <v>329</v>
      </c>
      <c r="H14" s="5"/>
    </row>
    <row r="15" spans="1:8" x14ac:dyDescent="0.2">
      <c r="A15" t="s">
        <v>330</v>
      </c>
      <c r="H15" s="5"/>
    </row>
    <row r="16" spans="1:8" x14ac:dyDescent="0.2">
      <c r="A16" t="s">
        <v>331</v>
      </c>
      <c r="B16" t="s">
        <v>300</v>
      </c>
      <c r="C16" t="s">
        <v>332</v>
      </c>
    </row>
    <row r="17" spans="1:3" x14ac:dyDescent="0.2">
      <c r="A17" t="s">
        <v>333</v>
      </c>
      <c r="B17" t="s">
        <v>334</v>
      </c>
      <c r="C17" t="s">
        <v>335</v>
      </c>
    </row>
    <row r="19" spans="1:3" x14ac:dyDescent="0.2">
      <c r="A19" s="1" t="s">
        <v>336</v>
      </c>
    </row>
    <row r="20" spans="1:3" x14ac:dyDescent="0.2">
      <c r="A20" t="s">
        <v>337</v>
      </c>
      <c r="B20" s="5">
        <v>1</v>
      </c>
      <c r="C20" s="5"/>
    </row>
    <row r="21" spans="1:3" x14ac:dyDescent="0.2">
      <c r="A21" t="s">
        <v>317</v>
      </c>
      <c r="B21" s="5">
        <v>30</v>
      </c>
      <c r="C21" s="5" t="s">
        <v>318</v>
      </c>
    </row>
    <row r="22" spans="1:3" x14ac:dyDescent="0.2">
      <c r="A22" t="s">
        <v>338</v>
      </c>
      <c r="B22" s="5">
        <f>3*1340</f>
        <v>4020</v>
      </c>
      <c r="C22" s="5"/>
    </row>
    <row r="23" spans="1:3" ht="14.25" x14ac:dyDescent="0.2">
      <c r="A23" t="s">
        <v>339</v>
      </c>
      <c r="B23" s="5">
        <f>B22*B21*PI()*B28/2*B28/2</f>
        <v>94719.018505732267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323</v>
      </c>
      <c r="B25" s="5">
        <v>70</v>
      </c>
      <c r="C25" s="5" t="s">
        <v>318</v>
      </c>
    </row>
    <row r="26" spans="1:3" x14ac:dyDescent="0.2">
      <c r="A26" t="s">
        <v>324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13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341</v>
      </c>
      <c r="B30" t="s">
        <v>300</v>
      </c>
      <c r="C30" t="s">
        <v>342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110" zoomScaleNormal="110" workbookViewId="0">
      <selection activeCell="G3" sqref="G3"/>
    </sheetView>
  </sheetViews>
  <sheetFormatPr defaultColWidth="11.5703125" defaultRowHeight="12.75" x14ac:dyDescent="0.2"/>
  <cols>
    <col min="1" max="1" width="32.42578125" customWidth="1"/>
    <col min="2" max="2" width="12.5703125" customWidth="1"/>
    <col min="3" max="3" width="38.285156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778</v>
      </c>
      <c r="B1" s="1" t="s">
        <v>245</v>
      </c>
      <c r="C1" s="1" t="s">
        <v>107</v>
      </c>
    </row>
    <row r="2" spans="1:8" x14ac:dyDescent="0.2">
      <c r="A2" s="1" t="s">
        <v>777</v>
      </c>
      <c r="C2" s="44"/>
      <c r="D2" s="44"/>
    </row>
    <row r="3" spans="1:8" x14ac:dyDescent="0.2">
      <c r="A3" t="s">
        <v>344</v>
      </c>
      <c r="B3" s="5">
        <v>5</v>
      </c>
      <c r="C3" s="5" t="s">
        <v>345</v>
      </c>
      <c r="E3" s="7"/>
      <c r="F3" s="4"/>
      <c r="G3" s="3"/>
      <c r="H3" s="11"/>
    </row>
    <row r="4" spans="1:8" x14ac:dyDescent="0.2">
      <c r="A4" t="s">
        <v>346</v>
      </c>
      <c r="B4" s="5">
        <v>3</v>
      </c>
      <c r="C4" s="5" t="s">
        <v>347</v>
      </c>
      <c r="E4" s="7"/>
      <c r="F4" s="4"/>
      <c r="G4" s="3"/>
      <c r="H4" s="11"/>
    </row>
    <row r="5" spans="1:8" x14ac:dyDescent="0.2">
      <c r="A5" t="s">
        <v>348</v>
      </c>
      <c r="B5" s="5">
        <v>15</v>
      </c>
      <c r="C5" s="5" t="s">
        <v>349</v>
      </c>
      <c r="E5" s="7"/>
      <c r="F5" s="4"/>
      <c r="G5" s="3"/>
      <c r="H5" s="11"/>
    </row>
    <row r="6" spans="1:8" x14ac:dyDescent="0.2">
      <c r="A6" t="s">
        <v>317</v>
      </c>
      <c r="B6" s="5">
        <v>10</v>
      </c>
      <c r="C6" s="5" t="s">
        <v>318</v>
      </c>
      <c r="E6" s="7"/>
      <c r="F6" s="4"/>
      <c r="G6" s="3"/>
      <c r="H6" s="11"/>
    </row>
    <row r="7" spans="1:8" x14ac:dyDescent="0.2">
      <c r="A7" t="s">
        <v>319</v>
      </c>
      <c r="B7" s="5">
        <v>1340</v>
      </c>
      <c r="C7" s="5"/>
      <c r="E7" s="7"/>
      <c r="F7" s="4"/>
      <c r="G7" s="3"/>
      <c r="H7" s="11"/>
    </row>
    <row r="8" spans="1:8" ht="14.25" x14ac:dyDescent="0.2">
      <c r="A8" t="s">
        <v>320</v>
      </c>
      <c r="B8" s="5">
        <f>31578 * 10/30*B4</f>
        <v>31578</v>
      </c>
      <c r="C8" s="5" t="s">
        <v>321</v>
      </c>
      <c r="E8" s="7"/>
      <c r="F8" s="4"/>
      <c r="G8" s="3"/>
      <c r="H8" s="11"/>
    </row>
    <row r="9" spans="1:8" x14ac:dyDescent="0.2">
      <c r="A9" t="s">
        <v>322</v>
      </c>
      <c r="B9" s="5">
        <v>12</v>
      </c>
      <c r="C9" s="5" t="s">
        <v>318</v>
      </c>
      <c r="E9" s="7"/>
      <c r="F9" s="4"/>
      <c r="G9" s="3"/>
      <c r="H9" s="11"/>
    </row>
    <row r="10" spans="1:8" x14ac:dyDescent="0.2">
      <c r="A10" t="s">
        <v>350</v>
      </c>
      <c r="B10" s="5">
        <v>70</v>
      </c>
      <c r="C10" s="5" t="s">
        <v>318</v>
      </c>
      <c r="E10" s="7"/>
      <c r="F10" s="4"/>
      <c r="G10" s="3"/>
      <c r="H10" s="11"/>
    </row>
    <row r="11" spans="1:8" x14ac:dyDescent="0.2">
      <c r="A11" t="s">
        <v>351</v>
      </c>
      <c r="B11" s="5">
        <v>13</v>
      </c>
      <c r="C11" s="5" t="s">
        <v>318</v>
      </c>
      <c r="E11" s="7"/>
      <c r="F11" s="4"/>
      <c r="G11" s="3"/>
      <c r="H11" s="11"/>
    </row>
    <row r="12" spans="1:8" x14ac:dyDescent="0.2">
      <c r="A12" s="6" t="s">
        <v>340</v>
      </c>
      <c r="B12" s="5">
        <v>54</v>
      </c>
      <c r="C12" s="5" t="s">
        <v>318</v>
      </c>
      <c r="E12" s="7"/>
      <c r="F12" s="4"/>
      <c r="G12" s="45"/>
      <c r="H12" s="45"/>
    </row>
    <row r="13" spans="1:8" ht="14.25" x14ac:dyDescent="0.2">
      <c r="A13" s="6" t="s">
        <v>326</v>
      </c>
      <c r="B13" s="5">
        <f>B4*120</f>
        <v>360</v>
      </c>
      <c r="C13" s="5" t="s">
        <v>321</v>
      </c>
      <c r="E13" s="7"/>
      <c r="F13" s="4"/>
      <c r="G13" s="5"/>
      <c r="H13" s="13"/>
    </row>
    <row r="14" spans="1:8" x14ac:dyDescent="0.2">
      <c r="A14" t="s">
        <v>327</v>
      </c>
      <c r="B14" s="5">
        <v>3</v>
      </c>
      <c r="C14" t="s">
        <v>328</v>
      </c>
    </row>
    <row r="15" spans="1:8" x14ac:dyDescent="0.2">
      <c r="H15" s="5"/>
    </row>
    <row r="16" spans="1:8" x14ac:dyDescent="0.2">
      <c r="A16" t="s">
        <v>331</v>
      </c>
      <c r="B16" t="s">
        <v>300</v>
      </c>
      <c r="C16" t="s">
        <v>779</v>
      </c>
    </row>
    <row r="17" spans="1:3" x14ac:dyDescent="0.2">
      <c r="A17" t="s">
        <v>333</v>
      </c>
      <c r="B17" t="s">
        <v>334</v>
      </c>
      <c r="C17" t="s">
        <v>780</v>
      </c>
    </row>
    <row r="18" spans="1:3" x14ac:dyDescent="0.2">
      <c r="C18" t="s">
        <v>781</v>
      </c>
    </row>
    <row r="19" spans="1:3" x14ac:dyDescent="0.2">
      <c r="A19" s="1" t="s">
        <v>353</v>
      </c>
    </row>
    <row r="20" spans="1:3" x14ac:dyDescent="0.2">
      <c r="A20" t="s">
        <v>337</v>
      </c>
      <c r="B20" s="5">
        <v>2</v>
      </c>
      <c r="C20" s="5"/>
    </row>
    <row r="21" spans="1:3" x14ac:dyDescent="0.2">
      <c r="A21" t="s">
        <v>354</v>
      </c>
      <c r="B21" s="5">
        <v>60</v>
      </c>
      <c r="C21" s="5" t="s">
        <v>318</v>
      </c>
    </row>
    <row r="22" spans="1:3" x14ac:dyDescent="0.2">
      <c r="A22" t="s">
        <v>338</v>
      </c>
      <c r="B22" s="5">
        <v>1340</v>
      </c>
      <c r="C22" s="5"/>
    </row>
    <row r="23" spans="1:3" ht="14.25" x14ac:dyDescent="0.2">
      <c r="A23" t="s">
        <v>355</v>
      </c>
      <c r="B23" s="5">
        <f>B21*B22*PI()*B28/2*B28/2</f>
        <v>63146.01233715484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350</v>
      </c>
      <c r="B25" s="5">
        <v>70</v>
      </c>
      <c r="C25" s="5" t="s">
        <v>318</v>
      </c>
    </row>
    <row r="26" spans="1:3" x14ac:dyDescent="0.2">
      <c r="A26" t="s">
        <v>351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54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356</v>
      </c>
      <c r="B30" t="s">
        <v>300</v>
      </c>
      <c r="C30" t="s">
        <v>342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E35"/>
  <sheetViews>
    <sheetView topLeftCell="A10" zoomScale="110" zoomScaleNormal="110" workbookViewId="0">
      <selection activeCell="B20" sqref="B20"/>
    </sheetView>
  </sheetViews>
  <sheetFormatPr defaultColWidth="11.5703125" defaultRowHeight="12.75" x14ac:dyDescent="0.2"/>
  <cols>
    <col min="1" max="1" width="25.140625" customWidth="1"/>
    <col min="2" max="2" width="17.42578125" customWidth="1"/>
  </cols>
  <sheetData>
    <row r="1" spans="1:5" x14ac:dyDescent="0.2">
      <c r="A1" s="1" t="s">
        <v>776</v>
      </c>
      <c r="B1" s="1" t="s">
        <v>106</v>
      </c>
      <c r="C1" s="1" t="s">
        <v>107</v>
      </c>
    </row>
    <row r="2" spans="1:5" x14ac:dyDescent="0.2">
      <c r="A2" s="1" t="s">
        <v>775</v>
      </c>
      <c r="B2" s="1"/>
    </row>
    <row r="3" spans="1:5" x14ac:dyDescent="0.2">
      <c r="A3" s="1" t="s">
        <v>169</v>
      </c>
      <c r="B3" s="30">
        <f>'5MGD 15 Effect VTE Capital Cost'!B33</f>
        <v>25369589.325787447</v>
      </c>
      <c r="C3" t="s">
        <v>170</v>
      </c>
    </row>
    <row r="4" spans="1:5" x14ac:dyDescent="0.2">
      <c r="A4" t="s">
        <v>111</v>
      </c>
      <c r="B4">
        <v>30</v>
      </c>
      <c r="C4" t="s">
        <v>112</v>
      </c>
    </row>
    <row r="5" spans="1:5" x14ac:dyDescent="0.2">
      <c r="A5" t="s">
        <v>113</v>
      </c>
      <c r="B5" s="31">
        <v>0.08</v>
      </c>
      <c r="C5" t="s">
        <v>114</v>
      </c>
    </row>
    <row r="6" spans="1:5" x14ac:dyDescent="0.2">
      <c r="A6" t="s">
        <v>115</v>
      </c>
      <c r="B6" s="35">
        <f>B4*12*($B5/12*$B$3)/(1-POWER($B$5/12+1,-$B$4*12))</f>
        <v>67015101.244072445</v>
      </c>
    </row>
    <row r="7" spans="1:5" x14ac:dyDescent="0.2">
      <c r="A7" s="1" t="s">
        <v>116</v>
      </c>
      <c r="B7" s="12">
        <f>B6/B4</f>
        <v>2233836.7081357483</v>
      </c>
      <c r="D7" s="112">
        <f>B7/(B$8*365*B$12/264.172)</f>
        <v>0.3403703595452845</v>
      </c>
    </row>
    <row r="8" spans="1:5" ht="14.25" x14ac:dyDescent="0.2">
      <c r="A8" t="s">
        <v>198</v>
      </c>
      <c r="B8" s="32">
        <v>5000000</v>
      </c>
      <c r="C8" t="s">
        <v>128</v>
      </c>
      <c r="D8" s="11">
        <f xml:space="preserve"> B8/264.172</f>
        <v>18927.062671289914</v>
      </c>
      <c r="E8" t="s">
        <v>751</v>
      </c>
    </row>
    <row r="9" spans="1:5" x14ac:dyDescent="0.2">
      <c r="A9" t="s">
        <v>199</v>
      </c>
      <c r="B9" s="41">
        <v>6.02</v>
      </c>
    </row>
    <row r="10" spans="1:5" x14ac:dyDescent="0.2">
      <c r="A10" t="s">
        <v>200</v>
      </c>
      <c r="B10" s="32">
        <f>B8/B9</f>
        <v>830564.78405315615</v>
      </c>
      <c r="C10" t="s">
        <v>128</v>
      </c>
    </row>
    <row r="11" spans="1:5" x14ac:dyDescent="0.2">
      <c r="A11" t="s">
        <v>173</v>
      </c>
      <c r="B11" s="33">
        <f>B8/(B8+B10)</f>
        <v>0.85754985754985757</v>
      </c>
    </row>
    <row r="12" spans="1:5" x14ac:dyDescent="0.2">
      <c r="A12" t="s">
        <v>130</v>
      </c>
      <c r="B12" s="4">
        <v>0.95</v>
      </c>
    </row>
    <row r="13" spans="1:5" x14ac:dyDescent="0.2">
      <c r="A13" s="6" t="s">
        <v>131</v>
      </c>
      <c r="B13" s="2">
        <f>B3/B8</f>
        <v>5.0739178651574894</v>
      </c>
    </row>
    <row r="14" spans="1:5" x14ac:dyDescent="0.2">
      <c r="A14" s="1" t="s">
        <v>133</v>
      </c>
      <c r="B14" s="2"/>
    </row>
    <row r="15" spans="1:5" x14ac:dyDescent="0.2">
      <c r="A15" t="s">
        <v>181</v>
      </c>
      <c r="B15" s="32">
        <f>'5MGD 15 Effect Pump Specs kW'!H11*24</f>
        <v>15296.485294775601</v>
      </c>
      <c r="C15" t="s">
        <v>182</v>
      </c>
    </row>
    <row r="16" spans="1:5" x14ac:dyDescent="0.2">
      <c r="A16" t="s">
        <v>151</v>
      </c>
      <c r="B16" s="38">
        <f>'Energy Cost Rates'!F23</f>
        <v>8.5000000000000006E-2</v>
      </c>
      <c r="C16" t="s">
        <v>183</v>
      </c>
    </row>
    <row r="17" spans="1:4" x14ac:dyDescent="0.2">
      <c r="A17" t="s">
        <v>153</v>
      </c>
      <c r="B17" s="35">
        <f>B15*B16*365*B12</f>
        <v>450844.78345689242</v>
      </c>
      <c r="C17" t="s">
        <v>114</v>
      </c>
    </row>
    <row r="18" spans="1:4" x14ac:dyDescent="0.2">
      <c r="A18" t="s">
        <v>203</v>
      </c>
      <c r="B18" s="32">
        <v>120000</v>
      </c>
      <c r="C18" t="s">
        <v>204</v>
      </c>
    </row>
    <row r="19" spans="1:4" x14ac:dyDescent="0.2">
      <c r="A19" t="s">
        <v>205</v>
      </c>
      <c r="B19" s="36">
        <v>4.4999999999999997E-3</v>
      </c>
      <c r="C19" t="s">
        <v>206</v>
      </c>
      <c r="D19" s="36">
        <f>'Energy Cost Rates'!F21</f>
        <v>4.4999999999999997E-3</v>
      </c>
    </row>
    <row r="20" spans="1:4" x14ac:dyDescent="0.2">
      <c r="A20" t="s">
        <v>207</v>
      </c>
      <c r="B20" s="35">
        <f>B18*B19*24*365*B12</f>
        <v>4493880</v>
      </c>
      <c r="C20" t="s">
        <v>114</v>
      </c>
    </row>
    <row r="21" spans="1:4" x14ac:dyDescent="0.2">
      <c r="A21" s="1" t="s">
        <v>154</v>
      </c>
      <c r="B21" s="12">
        <f>SUM(B$17,B$20)</f>
        <v>4944724.7834568927</v>
      </c>
    </row>
    <row r="22" spans="1:4" x14ac:dyDescent="0.2">
      <c r="A22" t="s">
        <v>201</v>
      </c>
      <c r="B22" s="35">
        <f>0.51/1000*$B$8*365</f>
        <v>930750</v>
      </c>
      <c r="C22" t="s">
        <v>114</v>
      </c>
    </row>
    <row r="23" spans="1:4" x14ac:dyDescent="0.2">
      <c r="A23" t="s">
        <v>175</v>
      </c>
      <c r="B23" s="35">
        <f>0.06/1000*$B$8*365</f>
        <v>109500</v>
      </c>
      <c r="C23" t="s">
        <v>114</v>
      </c>
    </row>
    <row r="24" spans="1:4" x14ac:dyDescent="0.2">
      <c r="A24" t="s">
        <v>180</v>
      </c>
      <c r="B24" s="35">
        <f>0.02/1000*$B$8*365</f>
        <v>36500.000000000007</v>
      </c>
      <c r="C24" t="s">
        <v>114</v>
      </c>
    </row>
    <row r="25" spans="1:4" x14ac:dyDescent="0.2">
      <c r="A25" s="1" t="s">
        <v>140</v>
      </c>
      <c r="B25" s="12">
        <f>SUM(B$21,B$22:B$24)</f>
        <v>6021474.7834568927</v>
      </c>
    </row>
    <row r="26" spans="1:4" x14ac:dyDescent="0.2">
      <c r="A26" s="1" t="s">
        <v>155</v>
      </c>
      <c r="B26" s="12">
        <f>SUM(B$7,B$21,B$22:B$24)</f>
        <v>8255311.491592641</v>
      </c>
    </row>
    <row r="28" spans="1:4" x14ac:dyDescent="0.2">
      <c r="A28" s="1" t="s">
        <v>208</v>
      </c>
      <c r="B28" s="12">
        <f>B26/(B8*365*B12/1000)</f>
        <v>4.7615351069027492</v>
      </c>
      <c r="C28" t="s">
        <v>185</v>
      </c>
    </row>
    <row r="29" spans="1:4" ht="14.25" x14ac:dyDescent="0.2">
      <c r="A29" s="1" t="s">
        <v>208</v>
      </c>
      <c r="B29" s="12">
        <f>B26/(B8*365*B12/264.172)</f>
        <v>1.2578642522607133</v>
      </c>
      <c r="C29" t="s">
        <v>752</v>
      </c>
    </row>
    <row r="30" spans="1:4" x14ac:dyDescent="0.2">
      <c r="A30" s="1" t="s">
        <v>208</v>
      </c>
      <c r="B30" s="12">
        <f>B$26/(B$8*365*B$12/325853.383688)</f>
        <v>1551.5623261334633</v>
      </c>
      <c r="C30" t="s">
        <v>186</v>
      </c>
    </row>
    <row r="32" spans="1:4" x14ac:dyDescent="0.2">
      <c r="A32" t="s">
        <v>209</v>
      </c>
      <c r="B32" s="32">
        <f>(B$8*365*B$12/325853.383688)</f>
        <v>5320.6444578769242</v>
      </c>
      <c r="C32" t="s">
        <v>190</v>
      </c>
    </row>
    <row r="33" spans="1:3" x14ac:dyDescent="0.2">
      <c r="A33" s="6" t="s">
        <v>755</v>
      </c>
      <c r="B33" s="32">
        <v>970</v>
      </c>
      <c r="C33" t="s">
        <v>72</v>
      </c>
    </row>
    <row r="34" spans="1:3" ht="19.5" customHeight="1" x14ac:dyDescent="0.3">
      <c r="A34" s="6" t="s">
        <v>770</v>
      </c>
      <c r="B34" s="127">
        <f xml:space="preserve"> 24 * B18 * B33 * 0.00029307107017 / D8</f>
        <v>43.256756520852925</v>
      </c>
      <c r="C34" t="s">
        <v>754</v>
      </c>
    </row>
    <row r="35" spans="1:3" ht="14.25" x14ac:dyDescent="0.2">
      <c r="A35" s="6" t="s">
        <v>765</v>
      </c>
      <c r="B35" s="8">
        <f>B15/B8 *264.172</f>
        <v>0.80818062265829205</v>
      </c>
      <c r="C35" t="s">
        <v>766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C33"/>
  <sheetViews>
    <sheetView zoomScale="110" zoomScaleNormal="110" workbookViewId="0">
      <selection sqref="A1:B33"/>
    </sheetView>
  </sheetViews>
  <sheetFormatPr defaultColWidth="11.85546875" defaultRowHeight="12.75" x14ac:dyDescent="0.2"/>
  <cols>
    <col min="1" max="1" width="43.28515625" customWidth="1"/>
    <col min="2" max="2" width="11.42578125" customWidth="1"/>
  </cols>
  <sheetData>
    <row r="1" spans="1:3" x14ac:dyDescent="0.2">
      <c r="A1" s="1" t="s">
        <v>774</v>
      </c>
    </row>
    <row r="2" spans="1:3" x14ac:dyDescent="0.2">
      <c r="A2" s="1" t="s">
        <v>0</v>
      </c>
      <c r="B2" s="1" t="s">
        <v>106</v>
      </c>
    </row>
    <row r="3" spans="1:3" s="6" customFormat="1" x14ac:dyDescent="0.2">
      <c r="A3" s="6" t="s">
        <v>311</v>
      </c>
      <c r="B3" s="43">
        <f>'5MGD 15 Effect Evaporator Costs'!H28</f>
        <v>13402694.48</v>
      </c>
      <c r="C3"/>
    </row>
    <row r="4" spans="1:3" x14ac:dyDescent="0.2">
      <c r="A4" t="s">
        <v>210</v>
      </c>
      <c r="B4" s="30">
        <f>'5MGD 15 Effect Evaporator Costs'!H30</f>
        <v>35360</v>
      </c>
    </row>
    <row r="5" spans="1:3" x14ac:dyDescent="0.2">
      <c r="A5" t="s">
        <v>211</v>
      </c>
      <c r="B5" s="30">
        <f>'5 MGD 15 Effect VTE Excavation '!J4*9.5</f>
        <v>180148.14814814815</v>
      </c>
    </row>
    <row r="6" spans="1:3" x14ac:dyDescent="0.2">
      <c r="A6" t="s">
        <v>212</v>
      </c>
      <c r="B6" s="30">
        <f>'5 MGD 15 Effect VTE Excavation '!J5*9</f>
        <v>60000</v>
      </c>
    </row>
    <row r="7" spans="1:3" x14ac:dyDescent="0.2">
      <c r="A7" t="s">
        <v>213</v>
      </c>
      <c r="B7" s="30">
        <v>20000</v>
      </c>
    </row>
    <row r="8" spans="1:3" x14ac:dyDescent="0.2">
      <c r="A8" t="s">
        <v>214</v>
      </c>
      <c r="B8" s="30">
        <v>707000</v>
      </c>
    </row>
    <row r="9" spans="1:3" x14ac:dyDescent="0.2">
      <c r="A9" t="s">
        <v>215</v>
      </c>
      <c r="B9" s="30">
        <v>50000</v>
      </c>
    </row>
    <row r="10" spans="1:3" x14ac:dyDescent="0.2">
      <c r="A10" t="s">
        <v>216</v>
      </c>
      <c r="B10" s="30">
        <v>300000</v>
      </c>
    </row>
    <row r="11" spans="1:3" x14ac:dyDescent="0.2">
      <c r="A11" t="s">
        <v>217</v>
      </c>
      <c r="B11" s="30">
        <v>250000</v>
      </c>
    </row>
    <row r="12" spans="1:3" x14ac:dyDescent="0.2">
      <c r="A12" t="s">
        <v>218</v>
      </c>
      <c r="B12" s="30">
        <v>100000</v>
      </c>
    </row>
    <row r="13" spans="1:3" x14ac:dyDescent="0.2">
      <c r="A13" t="s">
        <v>219</v>
      </c>
      <c r="B13" s="30">
        <v>50000</v>
      </c>
    </row>
    <row r="14" spans="1:3" x14ac:dyDescent="0.2">
      <c r="A14" t="s">
        <v>220</v>
      </c>
      <c r="B14" s="30">
        <v>10000</v>
      </c>
    </row>
    <row r="15" spans="1:3" x14ac:dyDescent="0.2">
      <c r="A15" s="1" t="s">
        <v>221</v>
      </c>
      <c r="B15" s="28">
        <f>SUM(B3:B14)</f>
        <v>15165202.628148148</v>
      </c>
    </row>
    <row r="16" spans="1:3" x14ac:dyDescent="0.2">
      <c r="B16" s="30"/>
    </row>
    <row r="17" spans="1:2" x14ac:dyDescent="0.2">
      <c r="A17" t="s">
        <v>222</v>
      </c>
      <c r="B17" s="30">
        <f>$B$15*0.015</f>
        <v>227478.03942222221</v>
      </c>
    </row>
    <row r="18" spans="1:2" x14ac:dyDescent="0.2">
      <c r="A18" t="s">
        <v>223</v>
      </c>
      <c r="B18" s="30">
        <f>$B$15*0.005</f>
        <v>75826.013140740746</v>
      </c>
    </row>
    <row r="19" spans="1:2" x14ac:dyDescent="0.2">
      <c r="A19" t="s">
        <v>224</v>
      </c>
      <c r="B19" s="30">
        <v>167000</v>
      </c>
    </row>
    <row r="20" spans="1:2" x14ac:dyDescent="0.2">
      <c r="A20" t="s">
        <v>225</v>
      </c>
      <c r="B20" s="30">
        <f>2*367000</f>
        <v>734000</v>
      </c>
    </row>
    <row r="21" spans="1:2" x14ac:dyDescent="0.2">
      <c r="A21" s="1" t="s">
        <v>226</v>
      </c>
      <c r="B21" s="28">
        <f>SUM(B17:B20)</f>
        <v>1204304.052562963</v>
      </c>
    </row>
    <row r="22" spans="1:2" x14ac:dyDescent="0.2">
      <c r="B22" s="30"/>
    </row>
    <row r="23" spans="1:2" x14ac:dyDescent="0.2">
      <c r="A23" t="s">
        <v>227</v>
      </c>
      <c r="B23" s="30">
        <f>0.15*(B15+B21)</f>
        <v>2455426.0021066666</v>
      </c>
    </row>
    <row r="24" spans="1:2" x14ac:dyDescent="0.2">
      <c r="A24" s="1" t="s">
        <v>228</v>
      </c>
      <c r="B24" s="28">
        <f>SUM(B15,B21,B23)</f>
        <v>18824932.682817779</v>
      </c>
    </row>
    <row r="25" spans="1:2" x14ac:dyDescent="0.2">
      <c r="B25" s="30"/>
    </row>
    <row r="26" spans="1:2" x14ac:dyDescent="0.2">
      <c r="A26" t="s">
        <v>229</v>
      </c>
      <c r="B26" s="30">
        <f>B15*0.015</f>
        <v>227478.03942222221</v>
      </c>
    </row>
    <row r="27" spans="1:2" x14ac:dyDescent="0.2">
      <c r="A27" t="s">
        <v>230</v>
      </c>
      <c r="B27" s="30">
        <f>$B$24*0.05</f>
        <v>941246.63414088904</v>
      </c>
    </row>
    <row r="28" spans="1:2" x14ac:dyDescent="0.2">
      <c r="A28" t="s">
        <v>312</v>
      </c>
      <c r="B28" s="30">
        <f>$B$24*0.08</f>
        <v>1505994.6146254223</v>
      </c>
    </row>
    <row r="29" spans="1:2" s="1" customFormat="1" x14ac:dyDescent="0.2">
      <c r="A29" s="1" t="s">
        <v>231</v>
      </c>
      <c r="B29" s="28">
        <f>SUM(B24,B26:B28)</f>
        <v>21499651.971006311</v>
      </c>
    </row>
    <row r="30" spans="1:2" x14ac:dyDescent="0.2">
      <c r="B30" s="30"/>
    </row>
    <row r="31" spans="1:2" x14ac:dyDescent="0.2">
      <c r="A31" t="s">
        <v>232</v>
      </c>
      <c r="B31" s="30">
        <f>$B$29*0.08</f>
        <v>1719972.157680505</v>
      </c>
    </row>
    <row r="32" spans="1:2" x14ac:dyDescent="0.2">
      <c r="A32" t="s">
        <v>233</v>
      </c>
      <c r="B32" s="30">
        <f>$B$29*0.1</f>
        <v>2149965.1971006314</v>
      </c>
    </row>
    <row r="33" spans="1:2" x14ac:dyDescent="0.2">
      <c r="A33" s="1" t="s">
        <v>234</v>
      </c>
      <c r="B33" s="28">
        <f>SUM(B29,B31:B32)</f>
        <v>25369589.325787447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J5"/>
  <sheetViews>
    <sheetView zoomScale="110" zoomScaleNormal="110" workbookViewId="0">
      <selection activeCell="A9" sqref="A9"/>
    </sheetView>
  </sheetViews>
  <sheetFormatPr defaultColWidth="11.85546875" defaultRowHeight="12.75" x14ac:dyDescent="0.2"/>
  <cols>
    <col min="1" max="1" width="23.42578125" customWidth="1"/>
    <col min="2" max="2" width="9.5703125" customWidth="1"/>
    <col min="3" max="3" width="6.42578125" customWidth="1"/>
    <col min="4" max="4" width="9.5703125" customWidth="1"/>
    <col min="5" max="5" width="5.140625" customWidth="1"/>
    <col min="6" max="6" width="12.5703125" customWidth="1"/>
    <col min="7" max="7" width="6.42578125" customWidth="1"/>
    <col min="8" max="8" width="10.42578125" customWidth="1"/>
    <col min="9" max="9" width="5.42578125" customWidth="1"/>
    <col min="10" max="10" width="11.42578125" customWidth="1"/>
  </cols>
  <sheetData>
    <row r="1" spans="1:10" x14ac:dyDescent="0.2">
      <c r="A1" s="1" t="s">
        <v>0</v>
      </c>
      <c r="B1" s="1" t="s">
        <v>235</v>
      </c>
      <c r="C1" s="1" t="s">
        <v>107</v>
      </c>
      <c r="D1" s="1" t="s">
        <v>236</v>
      </c>
      <c r="E1" s="1" t="s">
        <v>107</v>
      </c>
      <c r="F1" s="1" t="s">
        <v>237</v>
      </c>
      <c r="G1" s="1" t="s">
        <v>107</v>
      </c>
      <c r="H1" s="1" t="s">
        <v>238</v>
      </c>
      <c r="I1" s="1" t="s">
        <v>107</v>
      </c>
      <c r="J1" s="1" t="s">
        <v>106</v>
      </c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idden="1" x14ac:dyDescent="0.2">
      <c r="A3" t="s">
        <v>239</v>
      </c>
      <c r="B3" s="5">
        <v>1800</v>
      </c>
      <c r="C3" t="s">
        <v>240</v>
      </c>
      <c r="D3">
        <v>4</v>
      </c>
      <c r="E3" s="5" t="s">
        <v>241</v>
      </c>
      <c r="F3" s="5">
        <f>B3*D3/12</f>
        <v>600</v>
      </c>
      <c r="G3" s="5" t="s">
        <v>242</v>
      </c>
      <c r="H3" s="10">
        <v>106</v>
      </c>
      <c r="I3" s="5" t="s">
        <v>242</v>
      </c>
      <c r="J3" s="30">
        <f>F3*H3</f>
        <v>63600</v>
      </c>
    </row>
    <row r="4" spans="1:10" x14ac:dyDescent="0.2">
      <c r="A4" t="s">
        <v>211</v>
      </c>
      <c r="B4">
        <v>4</v>
      </c>
      <c r="C4" t="s">
        <v>170</v>
      </c>
      <c r="D4" s="3">
        <f>20*2*8</f>
        <v>320</v>
      </c>
      <c r="E4" s="5" t="s">
        <v>242</v>
      </c>
      <c r="F4" s="15">
        <f>B4*D4/27</f>
        <v>47.407407407407405</v>
      </c>
      <c r="G4" t="s">
        <v>243</v>
      </c>
      <c r="H4" s="10">
        <v>400</v>
      </c>
      <c r="I4" t="s">
        <v>243</v>
      </c>
      <c r="J4" s="30">
        <f>F4*H4</f>
        <v>18962.962962962964</v>
      </c>
    </row>
    <row r="5" spans="1:10" x14ac:dyDescent="0.2">
      <c r="A5" t="s">
        <v>212</v>
      </c>
      <c r="B5">
        <v>4</v>
      </c>
      <c r="C5" t="s">
        <v>170</v>
      </c>
      <c r="D5" s="3">
        <f>25*6*6</f>
        <v>900</v>
      </c>
      <c r="E5" s="5" t="s">
        <v>242</v>
      </c>
      <c r="F5" s="15">
        <f>B5*D5/27</f>
        <v>133.33333333333334</v>
      </c>
      <c r="G5" t="s">
        <v>243</v>
      </c>
      <c r="H5" s="10">
        <v>50</v>
      </c>
      <c r="I5" t="s">
        <v>243</v>
      </c>
      <c r="J5" s="30">
        <f>F5*H5</f>
        <v>6666.666666666667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H17"/>
  <sheetViews>
    <sheetView zoomScale="110" zoomScaleNormal="110" workbookViewId="0">
      <selection activeCell="A3" sqref="A3"/>
    </sheetView>
  </sheetViews>
  <sheetFormatPr defaultColWidth="11.5703125" defaultRowHeight="12.75" x14ac:dyDescent="0.2"/>
  <cols>
    <col min="1" max="1" width="24.28515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773</v>
      </c>
      <c r="B1" s="1" t="s">
        <v>245</v>
      </c>
      <c r="C1" s="1" t="s">
        <v>246</v>
      </c>
      <c r="D1" s="1" t="s">
        <v>247</v>
      </c>
      <c r="E1" s="1" t="s">
        <v>248</v>
      </c>
      <c r="F1" s="1" t="s">
        <v>249</v>
      </c>
      <c r="G1" s="1" t="s">
        <v>250</v>
      </c>
      <c r="H1" s="1" t="s">
        <v>251</v>
      </c>
    </row>
    <row r="2" spans="1:8" x14ac:dyDescent="0.2">
      <c r="A2" s="1" t="s">
        <v>772</v>
      </c>
      <c r="C2" s="44" t="s">
        <v>252</v>
      </c>
      <c r="D2" s="44" t="s">
        <v>253</v>
      </c>
    </row>
    <row r="3" spans="1:8" x14ac:dyDescent="0.2">
      <c r="A3" t="s">
        <v>254</v>
      </c>
      <c r="B3">
        <v>3</v>
      </c>
      <c r="C3" s="5">
        <v>4342</v>
      </c>
      <c r="D3">
        <v>80</v>
      </c>
      <c r="E3" s="7">
        <v>1.2</v>
      </c>
      <c r="F3" s="4">
        <v>0.75</v>
      </c>
      <c r="G3" s="3">
        <f t="shared" ref="G3:G9" si="0">(C3*D3*E3)/(3960*F3)</f>
        <v>140.34747474747473</v>
      </c>
      <c r="H3" s="11">
        <f t="shared" ref="H3:H9" si="1">B3*G3</f>
        <v>421.0424242424242</v>
      </c>
    </row>
    <row r="4" spans="1:8" x14ac:dyDescent="0.2">
      <c r="A4" t="s">
        <v>255</v>
      </c>
      <c r="B4">
        <v>1</v>
      </c>
      <c r="C4" s="5">
        <v>4342</v>
      </c>
      <c r="D4">
        <v>90</v>
      </c>
      <c r="E4" s="7">
        <v>1.03</v>
      </c>
      <c r="F4" s="4">
        <v>0.82</v>
      </c>
      <c r="G4" s="3">
        <f t="shared" si="0"/>
        <v>123.95399113082041</v>
      </c>
      <c r="H4" s="11">
        <f t="shared" si="1"/>
        <v>123.95399113082041</v>
      </c>
    </row>
    <row r="5" spans="1:8" x14ac:dyDescent="0.2">
      <c r="A5" t="s">
        <v>256</v>
      </c>
      <c r="B5">
        <v>1</v>
      </c>
      <c r="C5" s="5">
        <v>3472</v>
      </c>
      <c r="D5">
        <v>35</v>
      </c>
      <c r="E5" s="7">
        <v>1</v>
      </c>
      <c r="F5" s="4">
        <v>0.78</v>
      </c>
      <c r="G5" s="3">
        <f t="shared" si="0"/>
        <v>39.34213934213934</v>
      </c>
      <c r="H5" s="11">
        <f t="shared" si="1"/>
        <v>39.34213934213934</v>
      </c>
    </row>
    <row r="6" spans="1:8" x14ac:dyDescent="0.2">
      <c r="A6" t="s">
        <v>257</v>
      </c>
      <c r="B6">
        <v>1</v>
      </c>
      <c r="C6" s="5">
        <v>870</v>
      </c>
      <c r="D6">
        <v>35</v>
      </c>
      <c r="E6" s="7">
        <v>1.2</v>
      </c>
      <c r="F6" s="4">
        <v>0.65</v>
      </c>
      <c r="G6" s="3">
        <f t="shared" si="0"/>
        <v>14.195804195804195</v>
      </c>
      <c r="H6" s="11">
        <f t="shared" si="1"/>
        <v>14.195804195804195</v>
      </c>
    </row>
    <row r="7" spans="1:8" x14ac:dyDescent="0.2">
      <c r="A7" t="s">
        <v>258</v>
      </c>
      <c r="B7">
        <v>1</v>
      </c>
      <c r="C7" s="5">
        <v>260</v>
      </c>
      <c r="D7">
        <v>35</v>
      </c>
      <c r="E7" s="7">
        <v>1</v>
      </c>
      <c r="F7" s="4">
        <v>0.72</v>
      </c>
      <c r="G7" s="3">
        <f t="shared" si="0"/>
        <v>3.1916386083052752</v>
      </c>
      <c r="H7" s="11">
        <f t="shared" si="1"/>
        <v>3.1916386083052752</v>
      </c>
    </row>
    <row r="8" spans="1:8" x14ac:dyDescent="0.2">
      <c r="A8" t="s">
        <v>259</v>
      </c>
      <c r="B8">
        <v>1</v>
      </c>
      <c r="C8" s="5">
        <v>8500</v>
      </c>
      <c r="D8">
        <v>50</v>
      </c>
      <c r="E8" s="7">
        <v>1.03</v>
      </c>
      <c r="F8" s="4">
        <v>0.84</v>
      </c>
      <c r="G8" s="3">
        <f t="shared" si="0"/>
        <v>131.59872534872534</v>
      </c>
      <c r="H8" s="11">
        <f t="shared" si="1"/>
        <v>131.59872534872534</v>
      </c>
    </row>
    <row r="9" spans="1:8" x14ac:dyDescent="0.2">
      <c r="A9" t="s">
        <v>260</v>
      </c>
      <c r="B9">
        <v>1</v>
      </c>
      <c r="C9" s="5">
        <v>10000</v>
      </c>
      <c r="D9">
        <v>35</v>
      </c>
      <c r="E9" s="7">
        <v>1.03</v>
      </c>
      <c r="F9" s="4">
        <v>0.75</v>
      </c>
      <c r="G9" s="3">
        <f t="shared" si="0"/>
        <v>121.38047138047138</v>
      </c>
      <c r="H9" s="11">
        <f t="shared" si="1"/>
        <v>121.38047138047138</v>
      </c>
    </row>
    <row r="10" spans="1:8" x14ac:dyDescent="0.2">
      <c r="A10" s="1" t="s">
        <v>251</v>
      </c>
      <c r="C10" s="5"/>
      <c r="E10" s="7"/>
      <c r="F10" s="4"/>
      <c r="G10" s="45"/>
      <c r="H10" s="45">
        <f>SUM(H3:H9)</f>
        <v>854.70519424869019</v>
      </c>
    </row>
    <row r="11" spans="1:8" x14ac:dyDescent="0.2">
      <c r="A11" s="1" t="s">
        <v>261</v>
      </c>
      <c r="C11" s="5"/>
      <c r="E11" s="7"/>
      <c r="F11" s="4"/>
      <c r="G11" s="5"/>
      <c r="H11" s="13">
        <f>H10*745.699872/1000</f>
        <v>637.3535539489834</v>
      </c>
    </row>
    <row r="13" spans="1:8" x14ac:dyDescent="0.2">
      <c r="A13" t="s">
        <v>262</v>
      </c>
      <c r="C13" t="s">
        <v>263</v>
      </c>
      <c r="H13" s="5"/>
    </row>
    <row r="14" spans="1:8" x14ac:dyDescent="0.2">
      <c r="A14" t="s">
        <v>264</v>
      </c>
      <c r="C14" t="s">
        <v>265</v>
      </c>
    </row>
    <row r="15" spans="1:8" x14ac:dyDescent="0.2">
      <c r="A15" t="s">
        <v>266</v>
      </c>
      <c r="C15" t="s">
        <v>267</v>
      </c>
    </row>
    <row r="16" spans="1:8" x14ac:dyDescent="0.2">
      <c r="A16" t="s">
        <v>268</v>
      </c>
      <c r="C16" t="s">
        <v>269</v>
      </c>
    </row>
    <row r="17" spans="1:3" x14ac:dyDescent="0.2">
      <c r="A17" t="s">
        <v>270</v>
      </c>
      <c r="C17" t="s">
        <v>271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6"/>
  <sheetViews>
    <sheetView zoomScale="90" zoomScaleNormal="90" workbookViewId="0">
      <pane ySplit="1" topLeftCell="A2" activePane="bottomLeft" state="frozen"/>
      <selection pane="bottomLeft" activeCell="B12" sqref="B12"/>
    </sheetView>
  </sheetViews>
  <sheetFormatPr defaultColWidth="11.85546875" defaultRowHeight="12.75" x14ac:dyDescent="0.2"/>
  <cols>
    <col min="1" max="1" width="61.140625" customWidth="1"/>
    <col min="2" max="2" width="7.85546875" customWidth="1"/>
    <col min="3" max="3" width="16.28515625" customWidth="1"/>
    <col min="4" max="4" width="14.5703125" customWidth="1"/>
    <col min="5" max="5" width="16.42578125" customWidth="1"/>
    <col min="6" max="6" width="16" customWidth="1"/>
    <col min="7" max="7" width="17.140625" customWidth="1"/>
    <col min="8" max="8" width="17.42578125" customWidth="1"/>
    <col min="9" max="11" width="17.5703125" customWidth="1"/>
    <col min="12" max="12" width="17.42578125" customWidth="1"/>
    <col min="13" max="13" width="18" customWidth="1"/>
    <col min="14" max="14" width="17.5703125" customWidth="1"/>
    <col min="15" max="15" width="18.5703125" customWidth="1"/>
    <col min="16" max="16" width="18.42578125" customWidth="1"/>
    <col min="17" max="17" width="18.85546875" customWidth="1"/>
    <col min="18" max="18" width="18.5703125" customWidth="1"/>
    <col min="19" max="19" width="19.140625" customWidth="1"/>
    <col min="20" max="21" width="18.85546875" customWidth="1"/>
    <col min="22" max="22" width="18.42578125" customWidth="1"/>
    <col min="23" max="23" width="18.85546875" customWidth="1"/>
    <col min="24" max="24" width="18.42578125" customWidth="1"/>
    <col min="25" max="25" width="18.7109375" customWidth="1"/>
    <col min="26" max="26" width="19" customWidth="1"/>
    <col min="27" max="27" width="19.140625" customWidth="1"/>
    <col min="28" max="29" width="19" customWidth="1"/>
    <col min="30" max="30" width="18.7109375" customWidth="1"/>
    <col min="31" max="31" width="18.42578125" customWidth="1"/>
    <col min="32" max="32" width="18.7109375" customWidth="1"/>
    <col min="33" max="33" width="19" customWidth="1"/>
    <col min="34" max="34" width="18.42578125" customWidth="1"/>
    <col min="35" max="35" width="18.85546875" customWidth="1"/>
    <col min="36" max="37" width="18.42578125" customWidth="1"/>
    <col min="38" max="38" width="19" customWidth="1"/>
    <col min="39" max="60" width="18.5703125" customWidth="1"/>
    <col min="61" max="61" width="6.42578125" customWidth="1"/>
  </cols>
  <sheetData>
    <row r="1" spans="1:61" x14ac:dyDescent="0.2">
      <c r="A1" t="s">
        <v>2</v>
      </c>
      <c r="B1" t="s">
        <v>738</v>
      </c>
      <c r="C1">
        <v>2025</v>
      </c>
      <c r="D1" s="3">
        <f t="shared" ref="D1:AO1" si="0">C1+1</f>
        <v>2026</v>
      </c>
      <c r="E1" s="3">
        <f t="shared" si="0"/>
        <v>2027</v>
      </c>
      <c r="F1" s="3">
        <f t="shared" si="0"/>
        <v>2028</v>
      </c>
      <c r="G1" s="3">
        <f t="shared" si="0"/>
        <v>2029</v>
      </c>
      <c r="H1" s="3">
        <f t="shared" si="0"/>
        <v>2030</v>
      </c>
      <c r="I1" s="3">
        <f t="shared" si="0"/>
        <v>2031</v>
      </c>
      <c r="J1" s="3">
        <f t="shared" si="0"/>
        <v>2032</v>
      </c>
      <c r="K1" s="3">
        <f t="shared" si="0"/>
        <v>2033</v>
      </c>
      <c r="L1" s="3">
        <f t="shared" si="0"/>
        <v>2034</v>
      </c>
      <c r="M1" s="3">
        <f t="shared" si="0"/>
        <v>2035</v>
      </c>
      <c r="N1" s="3">
        <f t="shared" si="0"/>
        <v>2036</v>
      </c>
      <c r="O1" s="3">
        <f t="shared" si="0"/>
        <v>2037</v>
      </c>
      <c r="P1" s="3">
        <f t="shared" si="0"/>
        <v>2038</v>
      </c>
      <c r="Q1" s="3">
        <f t="shared" si="0"/>
        <v>2039</v>
      </c>
      <c r="R1" s="3">
        <f t="shared" si="0"/>
        <v>2040</v>
      </c>
      <c r="S1" s="3">
        <f t="shared" si="0"/>
        <v>2041</v>
      </c>
      <c r="T1" s="3">
        <f t="shared" si="0"/>
        <v>2042</v>
      </c>
      <c r="U1" s="3">
        <f t="shared" si="0"/>
        <v>2043</v>
      </c>
      <c r="V1" s="3">
        <f t="shared" si="0"/>
        <v>2044</v>
      </c>
      <c r="W1" s="3">
        <f t="shared" si="0"/>
        <v>2045</v>
      </c>
      <c r="X1" s="3">
        <f t="shared" si="0"/>
        <v>2046</v>
      </c>
      <c r="Y1" s="3">
        <f t="shared" si="0"/>
        <v>2047</v>
      </c>
      <c r="Z1" s="3">
        <f t="shared" si="0"/>
        <v>2048</v>
      </c>
      <c r="AA1" s="3">
        <f t="shared" si="0"/>
        <v>2049</v>
      </c>
      <c r="AB1" s="3">
        <f t="shared" si="0"/>
        <v>2050</v>
      </c>
      <c r="AC1" s="3">
        <f t="shared" si="0"/>
        <v>2051</v>
      </c>
      <c r="AD1" s="3">
        <f t="shared" si="0"/>
        <v>2052</v>
      </c>
      <c r="AE1" s="3">
        <f t="shared" si="0"/>
        <v>2053</v>
      </c>
      <c r="AF1" s="3">
        <f t="shared" si="0"/>
        <v>2054</v>
      </c>
      <c r="AG1" s="3">
        <f t="shared" si="0"/>
        <v>2055</v>
      </c>
      <c r="AH1" s="3">
        <f t="shared" si="0"/>
        <v>2056</v>
      </c>
      <c r="AI1" s="3">
        <f t="shared" si="0"/>
        <v>2057</v>
      </c>
      <c r="AJ1" s="3">
        <f t="shared" si="0"/>
        <v>2058</v>
      </c>
      <c r="AK1" s="3">
        <f t="shared" si="0"/>
        <v>2059</v>
      </c>
      <c r="AL1" s="3">
        <f t="shared" si="0"/>
        <v>2060</v>
      </c>
      <c r="AM1" s="3">
        <f t="shared" si="0"/>
        <v>2061</v>
      </c>
      <c r="AN1" s="3">
        <f t="shared" si="0"/>
        <v>2062</v>
      </c>
      <c r="AO1" s="3">
        <f t="shared" si="0"/>
        <v>2063</v>
      </c>
      <c r="AP1" s="3">
        <f t="shared" ref="AP1" si="1">AO1+1</f>
        <v>2064</v>
      </c>
      <c r="AQ1" s="3">
        <f t="shared" ref="AQ1" si="2">AP1+1</f>
        <v>2065</v>
      </c>
      <c r="AR1" s="3">
        <f t="shared" ref="AR1" si="3">AQ1+1</f>
        <v>2066</v>
      </c>
      <c r="AS1" s="3">
        <f t="shared" ref="AS1" si="4">AR1+1</f>
        <v>2067</v>
      </c>
      <c r="AT1" s="3">
        <f t="shared" ref="AT1" si="5">AS1+1</f>
        <v>2068</v>
      </c>
      <c r="AU1" s="3">
        <f t="shared" ref="AU1" si="6">AT1+1</f>
        <v>2069</v>
      </c>
      <c r="AV1" s="3">
        <f t="shared" ref="AV1" si="7">AU1+1</f>
        <v>2070</v>
      </c>
      <c r="AW1" s="3">
        <f t="shared" ref="AW1" si="8">AV1+1</f>
        <v>2071</v>
      </c>
      <c r="AX1" s="3">
        <f t="shared" ref="AX1" si="9">AW1+1</f>
        <v>2072</v>
      </c>
      <c r="AY1" s="3">
        <f t="shared" ref="AY1" si="10">AX1+1</f>
        <v>2073</v>
      </c>
      <c r="AZ1" s="3">
        <f t="shared" ref="AZ1" si="11">AY1+1</f>
        <v>2074</v>
      </c>
      <c r="BA1" s="3">
        <f t="shared" ref="BA1" si="12">AZ1+1</f>
        <v>2075</v>
      </c>
      <c r="BB1" s="3">
        <f t="shared" ref="BB1" si="13">BA1+1</f>
        <v>2076</v>
      </c>
      <c r="BC1" s="3">
        <f t="shared" ref="BC1" si="14">BB1+1</f>
        <v>2077</v>
      </c>
      <c r="BD1" s="3">
        <f t="shared" ref="BD1" si="15">BC1+1</f>
        <v>2078</v>
      </c>
      <c r="BE1" s="3">
        <f t="shared" ref="BE1" si="16">BD1+1</f>
        <v>2079</v>
      </c>
      <c r="BF1" s="3">
        <f t="shared" ref="BF1" si="17">BE1+1</f>
        <v>2080</v>
      </c>
      <c r="BG1" s="3">
        <f t="shared" ref="BG1:BH1" si="18">BF1+1</f>
        <v>2081</v>
      </c>
      <c r="BH1" s="3">
        <f t="shared" si="18"/>
        <v>2082</v>
      </c>
      <c r="BI1" s="3"/>
    </row>
    <row r="3" spans="1:61" s="82" customFormat="1" x14ac:dyDescent="0.2">
      <c r="A3" s="82" t="s">
        <v>3</v>
      </c>
      <c r="B3" s="156"/>
      <c r="C3" s="83">
        <f>'Management Team Cost'!$D$7</f>
        <v>936000</v>
      </c>
      <c r="D3" s="83">
        <f>'Management Team Cost'!$D$7</f>
        <v>936000</v>
      </c>
      <c r="E3" s="83">
        <f>'Management Team Cost'!$D$7</f>
        <v>936000</v>
      </c>
      <c r="F3" s="83">
        <f>'Management Team Cost'!$D$7</f>
        <v>936000</v>
      </c>
      <c r="G3" s="83">
        <f>'Management Team Cost'!$D$7</f>
        <v>936000</v>
      </c>
      <c r="H3" s="83">
        <f>'Management Team Cost'!$D$7</f>
        <v>936000</v>
      </c>
      <c r="I3" s="83">
        <f>'Management Team Cost'!$D$7</f>
        <v>936000</v>
      </c>
      <c r="J3" s="83">
        <f>'Management Team Cost'!$D$7</f>
        <v>936000</v>
      </c>
      <c r="K3" s="83">
        <f>'Management Team Cost'!$D$7</f>
        <v>936000</v>
      </c>
      <c r="L3" s="83">
        <f>'Management Team Cost'!$D$7</f>
        <v>936000</v>
      </c>
      <c r="M3" s="83">
        <f>'Management Team Cost'!$D$7</f>
        <v>936000</v>
      </c>
      <c r="N3" s="83">
        <f>'Management Team Cost'!$D$7</f>
        <v>936000</v>
      </c>
      <c r="O3" s="83">
        <f>'Management Team Cost'!$D$7</f>
        <v>936000</v>
      </c>
      <c r="P3" s="83">
        <f>'Management Team Cost'!$D$7</f>
        <v>936000</v>
      </c>
      <c r="Q3" s="83">
        <f>'Management Team Cost'!$D$7</f>
        <v>936000</v>
      </c>
      <c r="R3" s="83">
        <f>'Management Team Cost'!$D$7</f>
        <v>936000</v>
      </c>
      <c r="S3" s="83">
        <f>'Management Team Cost'!$D$7</f>
        <v>936000</v>
      </c>
      <c r="T3" s="83">
        <f>'Management Team Cost'!$D$7</f>
        <v>936000</v>
      </c>
      <c r="U3" s="83">
        <f>'Management Team Cost'!$D$7</f>
        <v>936000</v>
      </c>
      <c r="V3" s="83">
        <f>'Management Team Cost'!$D$7</f>
        <v>936000</v>
      </c>
      <c r="W3" s="83">
        <f>'Management Team Cost'!$D$7</f>
        <v>936000</v>
      </c>
      <c r="X3" s="83">
        <f>'Management Team Cost'!$D$7</f>
        <v>936000</v>
      </c>
      <c r="Y3" s="83">
        <f>'Management Team Cost'!$D$7</f>
        <v>936000</v>
      </c>
      <c r="Z3" s="83">
        <f>'Management Team Cost'!$D$7</f>
        <v>936000</v>
      </c>
      <c r="AA3" s="83">
        <f>'Management Team Cost'!$D$7</f>
        <v>936000</v>
      </c>
      <c r="AB3" s="83">
        <f>'Management Team Cost'!$D$7</f>
        <v>936000</v>
      </c>
      <c r="AC3" s="83">
        <f>'Management Team Cost'!$D$7</f>
        <v>936000</v>
      </c>
      <c r="AD3" s="83">
        <f>'Management Team Cost'!$D$7</f>
        <v>936000</v>
      </c>
      <c r="AE3" s="83">
        <f>'Management Team Cost'!$D$7</f>
        <v>936000</v>
      </c>
      <c r="AF3" s="83">
        <f>'Management Team Cost'!$D$7</f>
        <v>936000</v>
      </c>
      <c r="AG3" s="83">
        <f>'Management Team Cost'!$D$7</f>
        <v>936000</v>
      </c>
      <c r="AH3" s="83">
        <f>'Management Team Cost'!$D$7</f>
        <v>936000</v>
      </c>
      <c r="AI3" s="83">
        <f>'Management Team Cost'!$D$7</f>
        <v>936000</v>
      </c>
      <c r="AJ3" s="83">
        <f>'Management Team Cost'!$D$7</f>
        <v>936000</v>
      </c>
      <c r="AK3" s="83">
        <f>'Management Team Cost'!$D$7</f>
        <v>936000</v>
      </c>
      <c r="AL3" s="83">
        <f>'Management Team Cost'!$D$7</f>
        <v>936000</v>
      </c>
      <c r="AM3" s="83">
        <f>'Management Team Cost'!$D$7</f>
        <v>936000</v>
      </c>
      <c r="AN3" s="83">
        <f>'Management Team Cost'!$D$7</f>
        <v>936000</v>
      </c>
      <c r="AO3" s="83">
        <f>'Management Team Cost'!$D$7</f>
        <v>936000</v>
      </c>
      <c r="AP3" s="83">
        <f>'Management Team Cost'!$D$7</f>
        <v>936000</v>
      </c>
      <c r="AQ3" s="83">
        <f>'Management Team Cost'!$D$7</f>
        <v>936000</v>
      </c>
      <c r="AR3" s="83">
        <f>'Management Team Cost'!$D$7</f>
        <v>936000</v>
      </c>
      <c r="AS3" s="83">
        <f>'Management Team Cost'!$D$7</f>
        <v>936000</v>
      </c>
      <c r="AT3" s="83">
        <f>'Management Team Cost'!$D$7</f>
        <v>936000</v>
      </c>
      <c r="AU3" s="83">
        <f>'Management Team Cost'!$D$7</f>
        <v>936000</v>
      </c>
      <c r="AV3" s="83">
        <f>'Management Team Cost'!$D$7</f>
        <v>936000</v>
      </c>
      <c r="AW3" s="83">
        <f>'Management Team Cost'!$D$7</f>
        <v>936000</v>
      </c>
      <c r="AX3" s="83">
        <f>'Management Team Cost'!$D$7</f>
        <v>936000</v>
      </c>
      <c r="AY3" s="83">
        <f>'Management Team Cost'!$D$7</f>
        <v>936000</v>
      </c>
      <c r="AZ3" s="83">
        <f>'Management Team Cost'!$D$7</f>
        <v>936000</v>
      </c>
      <c r="BA3" s="83">
        <f>'Management Team Cost'!$D$7</f>
        <v>936000</v>
      </c>
      <c r="BB3" s="83">
        <f>'Management Team Cost'!$D$7</f>
        <v>936000</v>
      </c>
      <c r="BC3" s="83">
        <f>'Management Team Cost'!$D$7</f>
        <v>936000</v>
      </c>
      <c r="BD3" s="83">
        <f>'Management Team Cost'!$D$7</f>
        <v>936000</v>
      </c>
      <c r="BE3" s="83">
        <f>'Management Team Cost'!$D$7</f>
        <v>936000</v>
      </c>
      <c r="BF3" s="83">
        <f>'Management Team Cost'!$D$7</f>
        <v>936000</v>
      </c>
      <c r="BG3" s="83">
        <f>'Management Team Cost'!$D$7</f>
        <v>936000</v>
      </c>
      <c r="BH3" s="83">
        <f>'Management Team Cost'!$D$7</f>
        <v>936000</v>
      </c>
      <c r="BI3" s="83"/>
    </row>
    <row r="4" spans="1:61" s="82" customFormat="1" x14ac:dyDescent="0.2">
      <c r="A4" s="82" t="s">
        <v>4</v>
      </c>
      <c r="B4" s="156"/>
      <c r="C4" s="83">
        <f>'Management Team Cost'!$D$18</f>
        <v>97160</v>
      </c>
      <c r="D4" s="83">
        <f>'Management Team Cost'!$D$18</f>
        <v>97160</v>
      </c>
      <c r="E4" s="83">
        <f>'Management Team Cost'!$D$18</f>
        <v>97160</v>
      </c>
      <c r="F4" s="83">
        <f>'Management Team Cost'!$D$18</f>
        <v>97160</v>
      </c>
      <c r="G4" s="83">
        <f>'Management Team Cost'!$D$18</f>
        <v>97160</v>
      </c>
      <c r="H4" s="83">
        <f>'Management Team Cost'!$D$18</f>
        <v>97160</v>
      </c>
      <c r="I4" s="83">
        <f>'Management Team Cost'!$D$18</f>
        <v>97160</v>
      </c>
      <c r="J4" s="83">
        <f>'Management Team Cost'!$D$18</f>
        <v>97160</v>
      </c>
      <c r="K4" s="83">
        <f>'Management Team Cost'!$D$18</f>
        <v>97160</v>
      </c>
      <c r="L4" s="83">
        <f>'Management Team Cost'!$D$18</f>
        <v>97160</v>
      </c>
      <c r="M4" s="83">
        <f>'Management Team Cost'!$D$18</f>
        <v>97160</v>
      </c>
      <c r="N4" s="83">
        <f>'Management Team Cost'!$D$18</f>
        <v>97160</v>
      </c>
      <c r="O4" s="83">
        <f>'Management Team Cost'!$D$18</f>
        <v>97160</v>
      </c>
      <c r="P4" s="83">
        <f>'Management Team Cost'!$D$18</f>
        <v>97160</v>
      </c>
      <c r="Q4" s="83">
        <f>'Management Team Cost'!$D$18</f>
        <v>97160</v>
      </c>
      <c r="R4" s="83">
        <f>'Management Team Cost'!$D$18</f>
        <v>97160</v>
      </c>
      <c r="S4" s="83">
        <f>'Management Team Cost'!$D$18</f>
        <v>97160</v>
      </c>
      <c r="T4" s="83">
        <f>'Management Team Cost'!$D$18</f>
        <v>97160</v>
      </c>
      <c r="U4" s="83">
        <f>'Management Team Cost'!$D$18</f>
        <v>97160</v>
      </c>
      <c r="V4" s="83">
        <f>'Management Team Cost'!$D$18</f>
        <v>97160</v>
      </c>
      <c r="W4" s="83">
        <f>'Management Team Cost'!$D$18</f>
        <v>97160</v>
      </c>
      <c r="X4" s="83">
        <f>'Management Team Cost'!$D$18</f>
        <v>97160</v>
      </c>
      <c r="Y4" s="83">
        <f>'Management Team Cost'!$D$18</f>
        <v>97160</v>
      </c>
      <c r="Z4" s="83">
        <f>'Management Team Cost'!$D$18</f>
        <v>97160</v>
      </c>
      <c r="AA4" s="83">
        <f>'Management Team Cost'!$D$18</f>
        <v>97160</v>
      </c>
      <c r="AB4" s="83">
        <f>'Management Team Cost'!$D$18</f>
        <v>97160</v>
      </c>
      <c r="AC4" s="83">
        <f>'Management Team Cost'!$D$18</f>
        <v>97160</v>
      </c>
      <c r="AD4" s="83">
        <f>'Management Team Cost'!$D$18</f>
        <v>97160</v>
      </c>
      <c r="AE4" s="83">
        <f>'Management Team Cost'!$D$18</f>
        <v>97160</v>
      </c>
      <c r="AF4" s="83">
        <f>'Management Team Cost'!$D$18</f>
        <v>97160</v>
      </c>
      <c r="AG4" s="83">
        <f>'Management Team Cost'!$D$18</f>
        <v>97160</v>
      </c>
      <c r="AH4" s="83">
        <f>'Management Team Cost'!$D$18</f>
        <v>97160</v>
      </c>
      <c r="AI4" s="83">
        <f>'Management Team Cost'!$D$18</f>
        <v>97160</v>
      </c>
      <c r="AJ4" s="83">
        <f>'Management Team Cost'!$D$18</f>
        <v>97160</v>
      </c>
      <c r="AK4" s="83">
        <f>'Management Team Cost'!$D$18</f>
        <v>97160</v>
      </c>
      <c r="AL4" s="83">
        <f>'Management Team Cost'!$D$18</f>
        <v>97160</v>
      </c>
      <c r="AM4" s="83">
        <f>'Management Team Cost'!$D$18</f>
        <v>97160</v>
      </c>
      <c r="AN4" s="83">
        <f>'Management Team Cost'!$D$18</f>
        <v>97160</v>
      </c>
      <c r="AO4" s="83">
        <f>'Management Team Cost'!$D$18</f>
        <v>97160</v>
      </c>
      <c r="AP4" s="83">
        <f>'Management Team Cost'!$D$18</f>
        <v>97160</v>
      </c>
      <c r="AQ4" s="83">
        <f>'Management Team Cost'!$D$18</f>
        <v>97160</v>
      </c>
      <c r="AR4" s="83">
        <f>'Management Team Cost'!$D$18</f>
        <v>97160</v>
      </c>
      <c r="AS4" s="83">
        <f>'Management Team Cost'!$D$18</f>
        <v>97160</v>
      </c>
      <c r="AT4" s="83">
        <f>'Management Team Cost'!$D$18</f>
        <v>97160</v>
      </c>
      <c r="AU4" s="83">
        <f>'Management Team Cost'!$D$18</f>
        <v>97160</v>
      </c>
      <c r="AV4" s="83">
        <f>'Management Team Cost'!$D$18</f>
        <v>97160</v>
      </c>
      <c r="AW4" s="83">
        <f>'Management Team Cost'!$D$18</f>
        <v>97160</v>
      </c>
      <c r="AX4" s="83">
        <f>'Management Team Cost'!$D$18</f>
        <v>97160</v>
      </c>
      <c r="AY4" s="83">
        <f>'Management Team Cost'!$D$18</f>
        <v>97160</v>
      </c>
      <c r="AZ4" s="83">
        <f>'Management Team Cost'!$D$18</f>
        <v>97160</v>
      </c>
      <c r="BA4" s="83">
        <f>'Management Team Cost'!$D$18</f>
        <v>97160</v>
      </c>
      <c r="BB4" s="83">
        <f>'Management Team Cost'!$D$18</f>
        <v>97160</v>
      </c>
      <c r="BC4" s="83">
        <f>'Management Team Cost'!$D$18</f>
        <v>97160</v>
      </c>
      <c r="BD4" s="83">
        <f>'Management Team Cost'!$D$18</f>
        <v>97160</v>
      </c>
      <c r="BE4" s="83">
        <f>'Management Team Cost'!$D$18</f>
        <v>97160</v>
      </c>
      <c r="BF4" s="83">
        <f>'Management Team Cost'!$D$18</f>
        <v>97160</v>
      </c>
      <c r="BG4" s="83">
        <f>'Management Team Cost'!$D$18</f>
        <v>97160</v>
      </c>
      <c r="BH4" s="83">
        <f>'Management Team Cost'!$D$18</f>
        <v>97160</v>
      </c>
      <c r="BI4" s="83"/>
    </row>
    <row r="5" spans="1:61" s="82" customFormat="1" x14ac:dyDescent="0.2">
      <c r="A5" s="82" t="s">
        <v>5</v>
      </c>
      <c r="B5" s="156"/>
      <c r="C5" s="83">
        <f>'Engineering Team Cost'!$D$9</f>
        <v>1313000</v>
      </c>
      <c r="D5" s="83">
        <f>'Engineering Team Cost'!$D$9</f>
        <v>1313000</v>
      </c>
      <c r="E5" s="83">
        <f>'Engineering Team Cost'!$D$9</f>
        <v>1313000</v>
      </c>
      <c r="F5" s="83">
        <f>'Engineering Team Cost'!$D$9</f>
        <v>1313000</v>
      </c>
      <c r="G5" s="83">
        <f>'Engineering Team Cost'!$D$9</f>
        <v>1313000</v>
      </c>
      <c r="H5" s="83">
        <f>'Engineering Team Cost'!$D$9</f>
        <v>1313000</v>
      </c>
      <c r="I5" s="83">
        <v>0</v>
      </c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>
        <v>0</v>
      </c>
      <c r="P5" s="83">
        <v>0</v>
      </c>
      <c r="Q5" s="83">
        <v>0</v>
      </c>
      <c r="R5" s="83">
        <v>0</v>
      </c>
      <c r="S5" s="83">
        <v>0</v>
      </c>
      <c r="T5" s="83">
        <v>0</v>
      </c>
      <c r="U5" s="83">
        <v>0</v>
      </c>
      <c r="V5" s="83">
        <v>0</v>
      </c>
      <c r="W5" s="83">
        <v>0</v>
      </c>
      <c r="X5" s="83">
        <v>0</v>
      </c>
      <c r="Y5" s="83">
        <v>0</v>
      </c>
      <c r="Z5" s="83">
        <v>0</v>
      </c>
      <c r="AA5" s="83">
        <v>0</v>
      </c>
      <c r="AB5" s="83">
        <v>0</v>
      </c>
      <c r="AC5" s="83">
        <v>0</v>
      </c>
      <c r="AD5" s="83">
        <v>0</v>
      </c>
      <c r="AE5" s="83">
        <v>0</v>
      </c>
      <c r="AF5" s="83">
        <v>0</v>
      </c>
      <c r="AG5" s="83">
        <v>0</v>
      </c>
      <c r="AH5" s="83">
        <v>0</v>
      </c>
      <c r="AI5" s="83">
        <v>0</v>
      </c>
      <c r="AJ5" s="83">
        <v>0</v>
      </c>
      <c r="AK5" s="83">
        <v>0</v>
      </c>
      <c r="AL5" s="83">
        <v>0</v>
      </c>
      <c r="AM5" s="83">
        <v>0</v>
      </c>
      <c r="AN5" s="83">
        <v>0</v>
      </c>
      <c r="AO5" s="83">
        <v>0</v>
      </c>
      <c r="AP5" s="83">
        <v>0</v>
      </c>
      <c r="AQ5" s="83">
        <v>0</v>
      </c>
      <c r="AR5" s="83">
        <v>0</v>
      </c>
      <c r="AS5" s="83">
        <v>0</v>
      </c>
      <c r="AT5" s="83">
        <v>0</v>
      </c>
      <c r="AU5" s="83">
        <v>0</v>
      </c>
      <c r="AV5" s="83">
        <v>0</v>
      </c>
      <c r="AW5" s="83">
        <v>0</v>
      </c>
      <c r="AX5" s="83">
        <v>0</v>
      </c>
      <c r="AY5" s="83">
        <v>0</v>
      </c>
      <c r="AZ5" s="83">
        <v>0</v>
      </c>
      <c r="BA5" s="83">
        <v>0</v>
      </c>
      <c r="BB5" s="83">
        <v>0</v>
      </c>
      <c r="BC5" s="83">
        <v>0</v>
      </c>
      <c r="BD5" s="83">
        <v>0</v>
      </c>
      <c r="BE5" s="83">
        <v>0</v>
      </c>
      <c r="BF5" s="83">
        <v>0</v>
      </c>
      <c r="BG5" s="83">
        <v>0</v>
      </c>
      <c r="BH5" s="83">
        <v>0</v>
      </c>
      <c r="BI5" s="83"/>
    </row>
    <row r="6" spans="1:61" s="82" customFormat="1" x14ac:dyDescent="0.2">
      <c r="A6" s="82" t="s">
        <v>6</v>
      </c>
      <c r="B6" s="156"/>
      <c r="C6" s="83">
        <f>'Engineering Team Cost'!$D$15</f>
        <v>25000</v>
      </c>
      <c r="D6" s="83">
        <f>'Engineering Team Cost'!$D$15</f>
        <v>25000</v>
      </c>
      <c r="E6" s="83">
        <f>'Engineering Team Cost'!$D$15</f>
        <v>25000</v>
      </c>
      <c r="F6" s="83">
        <f>'Engineering Team Cost'!$D$15</f>
        <v>25000</v>
      </c>
      <c r="G6" s="83">
        <f>'Engineering Team Cost'!$D$15</f>
        <v>25000</v>
      </c>
      <c r="H6" s="83">
        <f>'Engineering Team Cost'!$D$15</f>
        <v>25000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  <c r="AS6" s="83">
        <v>0</v>
      </c>
      <c r="AT6" s="83">
        <v>0</v>
      </c>
      <c r="AU6" s="83">
        <v>0</v>
      </c>
      <c r="AV6" s="83">
        <v>0</v>
      </c>
      <c r="AW6" s="83">
        <v>0</v>
      </c>
      <c r="AX6" s="83">
        <v>0</v>
      </c>
      <c r="AY6" s="83">
        <v>0</v>
      </c>
      <c r="AZ6" s="83">
        <v>0</v>
      </c>
      <c r="BA6" s="83">
        <v>0</v>
      </c>
      <c r="BB6" s="83">
        <v>0</v>
      </c>
      <c r="BC6" s="83">
        <v>0</v>
      </c>
      <c r="BD6" s="83">
        <v>0</v>
      </c>
      <c r="BE6" s="83">
        <v>0</v>
      </c>
      <c r="BF6" s="83">
        <v>0</v>
      </c>
      <c r="BG6" s="83">
        <v>0</v>
      </c>
      <c r="BH6" s="83">
        <v>0</v>
      </c>
      <c r="BI6" s="83"/>
    </row>
    <row r="7" spans="1:61" s="82" customFormat="1" x14ac:dyDescent="0.2">
      <c r="A7" s="82" t="s">
        <v>7</v>
      </c>
      <c r="B7" s="156"/>
      <c r="C7" s="83">
        <f t="shared" ref="C7:AM7" si="19">SUM(C3:C6)</f>
        <v>2371160</v>
      </c>
      <c r="D7" s="83">
        <f t="shared" si="19"/>
        <v>2371160</v>
      </c>
      <c r="E7" s="83">
        <f t="shared" si="19"/>
        <v>2371160</v>
      </c>
      <c r="F7" s="83">
        <f t="shared" si="19"/>
        <v>2371160</v>
      </c>
      <c r="G7" s="83">
        <f t="shared" si="19"/>
        <v>2371160</v>
      </c>
      <c r="H7" s="83">
        <f t="shared" si="19"/>
        <v>2371160</v>
      </c>
      <c r="I7" s="83">
        <f t="shared" si="19"/>
        <v>1033160</v>
      </c>
      <c r="J7" s="83">
        <f t="shared" si="19"/>
        <v>1033160</v>
      </c>
      <c r="K7" s="83">
        <f t="shared" si="19"/>
        <v>1033160</v>
      </c>
      <c r="L7" s="83">
        <f t="shared" si="19"/>
        <v>1033160</v>
      </c>
      <c r="M7" s="83">
        <f t="shared" si="19"/>
        <v>1033160</v>
      </c>
      <c r="N7" s="83">
        <f t="shared" si="19"/>
        <v>1033160</v>
      </c>
      <c r="O7" s="83">
        <f t="shared" si="19"/>
        <v>1033160</v>
      </c>
      <c r="P7" s="83">
        <f t="shared" si="19"/>
        <v>1033160</v>
      </c>
      <c r="Q7" s="83">
        <f t="shared" si="19"/>
        <v>1033160</v>
      </c>
      <c r="R7" s="83">
        <f t="shared" si="19"/>
        <v>1033160</v>
      </c>
      <c r="S7" s="83">
        <f t="shared" si="19"/>
        <v>1033160</v>
      </c>
      <c r="T7" s="83">
        <f t="shared" si="19"/>
        <v>1033160</v>
      </c>
      <c r="U7" s="83">
        <f t="shared" si="19"/>
        <v>1033160</v>
      </c>
      <c r="V7" s="83">
        <f t="shared" si="19"/>
        <v>1033160</v>
      </c>
      <c r="W7" s="83">
        <f t="shared" si="19"/>
        <v>1033160</v>
      </c>
      <c r="X7" s="83">
        <f t="shared" si="19"/>
        <v>1033160</v>
      </c>
      <c r="Y7" s="83">
        <f t="shared" si="19"/>
        <v>1033160</v>
      </c>
      <c r="Z7" s="83">
        <f t="shared" si="19"/>
        <v>1033160</v>
      </c>
      <c r="AA7" s="83">
        <f t="shared" si="19"/>
        <v>1033160</v>
      </c>
      <c r="AB7" s="83">
        <f t="shared" si="19"/>
        <v>1033160</v>
      </c>
      <c r="AC7" s="83">
        <f t="shared" si="19"/>
        <v>1033160</v>
      </c>
      <c r="AD7" s="83">
        <f t="shared" si="19"/>
        <v>1033160</v>
      </c>
      <c r="AE7" s="83">
        <f t="shared" si="19"/>
        <v>1033160</v>
      </c>
      <c r="AF7" s="83">
        <f t="shared" si="19"/>
        <v>1033160</v>
      </c>
      <c r="AG7" s="83">
        <f t="shared" si="19"/>
        <v>1033160</v>
      </c>
      <c r="AH7" s="83">
        <f t="shared" si="19"/>
        <v>1033160</v>
      </c>
      <c r="AI7" s="83">
        <f t="shared" si="19"/>
        <v>1033160</v>
      </c>
      <c r="AJ7" s="83">
        <f t="shared" si="19"/>
        <v>1033160</v>
      </c>
      <c r="AK7" s="83">
        <f t="shared" si="19"/>
        <v>1033160</v>
      </c>
      <c r="AL7" s="83">
        <f t="shared" si="19"/>
        <v>1033160</v>
      </c>
      <c r="AM7" s="83">
        <f t="shared" si="19"/>
        <v>1033160</v>
      </c>
      <c r="AN7" s="83">
        <f t="shared" ref="AN7:AP7" si="20">SUM(AN3:AN6)</f>
        <v>1033160</v>
      </c>
      <c r="AO7" s="83">
        <f t="shared" si="20"/>
        <v>1033160</v>
      </c>
      <c r="AP7" s="83">
        <f t="shared" si="20"/>
        <v>1033160</v>
      </c>
      <c r="AQ7" s="83">
        <f t="shared" ref="AQ7:AS7" si="21">SUM(AQ3:AQ6)</f>
        <v>1033160</v>
      </c>
      <c r="AR7" s="83">
        <f t="shared" si="21"/>
        <v>1033160</v>
      </c>
      <c r="AS7" s="83">
        <f t="shared" si="21"/>
        <v>1033160</v>
      </c>
      <c r="AT7" s="83">
        <f t="shared" ref="AT7:AY7" si="22">SUM(AT3:AT6)</f>
        <v>1033160</v>
      </c>
      <c r="AU7" s="83">
        <f t="shared" si="22"/>
        <v>1033160</v>
      </c>
      <c r="AV7" s="83">
        <f t="shared" si="22"/>
        <v>1033160</v>
      </c>
      <c r="AW7" s="83">
        <f t="shared" si="22"/>
        <v>1033160</v>
      </c>
      <c r="AX7" s="83">
        <f t="shared" si="22"/>
        <v>1033160</v>
      </c>
      <c r="AY7" s="83">
        <f t="shared" si="22"/>
        <v>1033160</v>
      </c>
      <c r="AZ7" s="83">
        <f t="shared" ref="AZ7:BE7" si="23">SUM(AZ3:AZ6)</f>
        <v>1033160</v>
      </c>
      <c r="BA7" s="83">
        <f t="shared" si="23"/>
        <v>1033160</v>
      </c>
      <c r="BB7" s="83">
        <f t="shared" si="23"/>
        <v>1033160</v>
      </c>
      <c r="BC7" s="83">
        <f t="shared" si="23"/>
        <v>1033160</v>
      </c>
      <c r="BD7" s="83">
        <f t="shared" si="23"/>
        <v>1033160</v>
      </c>
      <c r="BE7" s="83">
        <f t="shared" si="23"/>
        <v>1033160</v>
      </c>
      <c r="BF7" s="83">
        <f t="shared" ref="BF7:BG7" si="24">SUM(BF3:BF6)</f>
        <v>1033160</v>
      </c>
      <c r="BG7" s="83">
        <f t="shared" si="24"/>
        <v>1033160</v>
      </c>
      <c r="BH7" s="83">
        <f t="shared" ref="BH7" si="25">SUM(BH3:BH6)</f>
        <v>1033160</v>
      </c>
      <c r="BI7" s="83"/>
    </row>
    <row r="8" spans="1:61" s="104" customFormat="1" x14ac:dyDescent="0.2">
      <c r="B8" s="160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</row>
    <row r="9" spans="1:61" x14ac:dyDescent="0.2">
      <c r="A9" s="199" t="s">
        <v>808</v>
      </c>
      <c r="B9" s="31"/>
    </row>
    <row r="10" spans="1:61" s="200" customFormat="1" x14ac:dyDescent="0.2">
      <c r="A10" s="200" t="s">
        <v>805</v>
      </c>
      <c r="B10" s="201"/>
      <c r="C10" s="200">
        <v>0</v>
      </c>
      <c r="D10" s="200">
        <v>0</v>
      </c>
      <c r="E10" s="200">
        <v>0</v>
      </c>
      <c r="F10" s="200">
        <v>0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2">
        <v>900000</v>
      </c>
      <c r="N10" s="202">
        <v>900000</v>
      </c>
      <c r="O10" s="202">
        <v>900000</v>
      </c>
      <c r="P10" s="202">
        <v>900000</v>
      </c>
      <c r="Q10" s="202">
        <v>900000</v>
      </c>
      <c r="R10" s="202">
        <v>450000</v>
      </c>
      <c r="S10" s="202">
        <v>450000</v>
      </c>
      <c r="T10" s="202">
        <v>450000</v>
      </c>
      <c r="U10" s="202">
        <v>450000</v>
      </c>
      <c r="V10" s="202">
        <v>450000</v>
      </c>
      <c r="W10" s="202">
        <v>450000</v>
      </c>
      <c r="X10" s="202">
        <v>450000</v>
      </c>
      <c r="Y10" s="202">
        <v>450000</v>
      </c>
      <c r="Z10" s="202">
        <v>450000</v>
      </c>
      <c r="AA10" s="202">
        <v>500000</v>
      </c>
      <c r="AB10" s="202">
        <v>500000</v>
      </c>
      <c r="AC10" s="202">
        <v>500000</v>
      </c>
      <c r="AD10" s="202">
        <v>500000</v>
      </c>
      <c r="AE10" s="202">
        <v>500000</v>
      </c>
      <c r="AF10" s="202">
        <v>500000</v>
      </c>
      <c r="AG10" s="202">
        <v>500000</v>
      </c>
      <c r="AH10" s="202">
        <v>500000</v>
      </c>
      <c r="AI10" s="202">
        <v>500000</v>
      </c>
      <c r="AJ10" s="202">
        <v>500000</v>
      </c>
      <c r="AK10" s="202">
        <v>500000</v>
      </c>
      <c r="AL10" s="202">
        <v>500000</v>
      </c>
      <c r="AM10" s="202">
        <v>500000</v>
      </c>
      <c r="AN10" s="202">
        <v>500000</v>
      </c>
      <c r="AO10" s="202">
        <v>500000</v>
      </c>
      <c r="AP10" s="202">
        <v>500000</v>
      </c>
      <c r="AQ10" s="202">
        <v>500000</v>
      </c>
      <c r="AR10" s="202">
        <v>500000</v>
      </c>
      <c r="AS10" s="202">
        <v>500000</v>
      </c>
      <c r="AT10" s="202">
        <v>500000</v>
      </c>
      <c r="AU10" s="202">
        <v>500000</v>
      </c>
      <c r="AV10" s="202">
        <v>500000</v>
      </c>
      <c r="AW10" s="202">
        <v>500000</v>
      </c>
      <c r="AX10" s="202">
        <v>500000</v>
      </c>
      <c r="AY10" s="202">
        <v>500000</v>
      </c>
      <c r="AZ10" s="202">
        <v>500000</v>
      </c>
      <c r="BA10" s="202">
        <v>500000</v>
      </c>
      <c r="BB10" s="202">
        <v>500000</v>
      </c>
      <c r="BC10" s="202">
        <v>500000</v>
      </c>
      <c r="BD10" s="202">
        <v>500000</v>
      </c>
      <c r="BE10" s="202">
        <v>500000</v>
      </c>
      <c r="BF10" s="202">
        <v>500000</v>
      </c>
      <c r="BG10" s="202">
        <v>500000</v>
      </c>
      <c r="BH10" s="202">
        <v>500000</v>
      </c>
    </row>
    <row r="11" spans="1:61" x14ac:dyDescent="0.2">
      <c r="A11" s="82" t="s">
        <v>833</v>
      </c>
      <c r="B11" s="83">
        <v>110</v>
      </c>
      <c r="C11" s="83">
        <f t="shared" ref="C11:N12" si="26" xml:space="preserve"> $B11 * C$10</f>
        <v>0</v>
      </c>
      <c r="D11" s="83">
        <f t="shared" si="26"/>
        <v>0</v>
      </c>
      <c r="E11" s="83">
        <f t="shared" si="26"/>
        <v>0</v>
      </c>
      <c r="F11" s="83">
        <f t="shared" si="26"/>
        <v>0</v>
      </c>
      <c r="G11" s="83">
        <f t="shared" si="26"/>
        <v>0</v>
      </c>
      <c r="H11" s="83">
        <f t="shared" si="26"/>
        <v>0</v>
      </c>
      <c r="I11" s="83">
        <f t="shared" si="26"/>
        <v>0</v>
      </c>
      <c r="J11" s="83">
        <f t="shared" si="26"/>
        <v>0</v>
      </c>
      <c r="K11" s="83">
        <f t="shared" si="26"/>
        <v>0</v>
      </c>
      <c r="L11" s="83">
        <f t="shared" si="26"/>
        <v>0</v>
      </c>
      <c r="M11" s="83">
        <f t="shared" si="26"/>
        <v>99000000</v>
      </c>
      <c r="N11" s="83">
        <f t="shared" si="26"/>
        <v>99000000</v>
      </c>
      <c r="O11" s="83">
        <f xml:space="preserve"> $B11 * O$10</f>
        <v>99000000</v>
      </c>
      <c r="P11" s="83">
        <f t="shared" ref="P11:AP12" si="27" xml:space="preserve"> $B11 * P$10</f>
        <v>99000000</v>
      </c>
      <c r="Q11" s="83">
        <f t="shared" si="27"/>
        <v>99000000</v>
      </c>
      <c r="R11" s="83">
        <f t="shared" si="27"/>
        <v>49500000</v>
      </c>
      <c r="S11" s="83">
        <f t="shared" si="27"/>
        <v>49500000</v>
      </c>
      <c r="T11" s="83">
        <f t="shared" si="27"/>
        <v>49500000</v>
      </c>
      <c r="U11" s="83">
        <f t="shared" si="27"/>
        <v>49500000</v>
      </c>
      <c r="V11" s="83">
        <f t="shared" si="27"/>
        <v>49500000</v>
      </c>
      <c r="W11" s="83">
        <f t="shared" si="27"/>
        <v>49500000</v>
      </c>
      <c r="X11" s="83">
        <f t="shared" si="27"/>
        <v>49500000</v>
      </c>
      <c r="Y11" s="83">
        <f t="shared" si="27"/>
        <v>49500000</v>
      </c>
      <c r="Z11" s="83">
        <f t="shared" si="27"/>
        <v>49500000</v>
      </c>
      <c r="AA11" s="83">
        <f t="shared" si="27"/>
        <v>55000000</v>
      </c>
      <c r="AB11" s="83">
        <f t="shared" si="27"/>
        <v>55000000</v>
      </c>
      <c r="AC11" s="83">
        <f t="shared" si="27"/>
        <v>55000000</v>
      </c>
      <c r="AD11" s="83">
        <f t="shared" si="27"/>
        <v>55000000</v>
      </c>
      <c r="AE11" s="83">
        <f t="shared" si="27"/>
        <v>55000000</v>
      </c>
      <c r="AF11" s="83">
        <f t="shared" si="27"/>
        <v>55000000</v>
      </c>
      <c r="AG11" s="83">
        <f t="shared" si="27"/>
        <v>55000000</v>
      </c>
      <c r="AH11" s="83">
        <f t="shared" si="27"/>
        <v>55000000</v>
      </c>
      <c r="AI11" s="83">
        <f t="shared" si="27"/>
        <v>55000000</v>
      </c>
      <c r="AJ11" s="83">
        <f t="shared" si="27"/>
        <v>55000000</v>
      </c>
      <c r="AK11" s="83">
        <f t="shared" si="27"/>
        <v>55000000</v>
      </c>
      <c r="AL11" s="83">
        <f t="shared" si="27"/>
        <v>55000000</v>
      </c>
      <c r="AM11" s="83">
        <f t="shared" si="27"/>
        <v>55000000</v>
      </c>
      <c r="AN11" s="83">
        <f t="shared" si="27"/>
        <v>55000000</v>
      </c>
      <c r="AO11" s="83">
        <f t="shared" si="27"/>
        <v>55000000</v>
      </c>
      <c r="AP11" s="83">
        <f t="shared" si="27"/>
        <v>55000000</v>
      </c>
      <c r="AQ11" s="83">
        <f t="shared" ref="AP11:BE12" si="28" xml:space="preserve"> $B11 * AQ$10</f>
        <v>55000000</v>
      </c>
      <c r="AR11" s="83">
        <f t="shared" si="28"/>
        <v>55000000</v>
      </c>
      <c r="AS11" s="83">
        <f t="shared" si="28"/>
        <v>55000000</v>
      </c>
      <c r="AT11" s="83">
        <f t="shared" si="28"/>
        <v>55000000</v>
      </c>
      <c r="AU11" s="83">
        <f t="shared" si="28"/>
        <v>55000000</v>
      </c>
      <c r="AV11" s="83">
        <f t="shared" si="28"/>
        <v>55000000</v>
      </c>
      <c r="AW11" s="83">
        <f t="shared" si="28"/>
        <v>55000000</v>
      </c>
      <c r="AX11" s="83">
        <f t="shared" si="28"/>
        <v>55000000</v>
      </c>
      <c r="AY11" s="83">
        <f t="shared" si="28"/>
        <v>55000000</v>
      </c>
      <c r="AZ11" s="83">
        <f t="shared" si="28"/>
        <v>55000000</v>
      </c>
      <c r="BA11" s="83">
        <f t="shared" si="28"/>
        <v>55000000</v>
      </c>
      <c r="BB11" s="83">
        <f t="shared" si="28"/>
        <v>55000000</v>
      </c>
      <c r="BC11" s="83">
        <f t="shared" si="28"/>
        <v>55000000</v>
      </c>
      <c r="BD11" s="83">
        <f t="shared" si="28"/>
        <v>55000000</v>
      </c>
      <c r="BE11" s="83">
        <f t="shared" si="28"/>
        <v>55000000</v>
      </c>
      <c r="BF11" s="83">
        <f t="shared" ref="BB11:BH12" si="29" xml:space="preserve"> $B11 * BF$10</f>
        <v>55000000</v>
      </c>
      <c r="BG11" s="83">
        <f t="shared" si="29"/>
        <v>55000000</v>
      </c>
      <c r="BH11" s="83">
        <f t="shared" si="29"/>
        <v>55000000</v>
      </c>
    </row>
    <row r="12" spans="1:61" x14ac:dyDescent="0.2">
      <c r="A12" s="82" t="s">
        <v>804</v>
      </c>
      <c r="B12" s="83">
        <v>70</v>
      </c>
      <c r="C12" s="83">
        <f t="shared" si="26"/>
        <v>0</v>
      </c>
      <c r="D12" s="83">
        <f t="shared" si="26"/>
        <v>0</v>
      </c>
      <c r="E12" s="83">
        <f t="shared" si="26"/>
        <v>0</v>
      </c>
      <c r="F12" s="83">
        <f t="shared" si="26"/>
        <v>0</v>
      </c>
      <c r="G12" s="83">
        <f t="shared" si="26"/>
        <v>0</v>
      </c>
      <c r="H12" s="83">
        <f t="shared" si="26"/>
        <v>0</v>
      </c>
      <c r="I12" s="83">
        <f t="shared" si="26"/>
        <v>0</v>
      </c>
      <c r="J12" s="83">
        <f t="shared" si="26"/>
        <v>0</v>
      </c>
      <c r="K12" s="83">
        <f t="shared" si="26"/>
        <v>0</v>
      </c>
      <c r="L12" s="83">
        <f t="shared" si="26"/>
        <v>0</v>
      </c>
      <c r="M12" s="83">
        <f t="shared" si="26"/>
        <v>63000000</v>
      </c>
      <c r="N12" s="83">
        <f t="shared" si="26"/>
        <v>63000000</v>
      </c>
      <c r="O12" s="83">
        <f xml:space="preserve"> $B12 * O$10</f>
        <v>63000000</v>
      </c>
      <c r="P12" s="83">
        <f t="shared" si="27"/>
        <v>63000000</v>
      </c>
      <c r="Q12" s="83">
        <f t="shared" si="27"/>
        <v>63000000</v>
      </c>
      <c r="R12" s="83">
        <f t="shared" si="27"/>
        <v>31500000</v>
      </c>
      <c r="S12" s="83">
        <f t="shared" si="27"/>
        <v>31500000</v>
      </c>
      <c r="T12" s="83">
        <f t="shared" si="27"/>
        <v>31500000</v>
      </c>
      <c r="U12" s="83">
        <f t="shared" si="27"/>
        <v>31500000</v>
      </c>
      <c r="V12" s="83">
        <f t="shared" si="27"/>
        <v>31500000</v>
      </c>
      <c r="W12" s="83">
        <f t="shared" si="27"/>
        <v>31500000</v>
      </c>
      <c r="X12" s="83">
        <f t="shared" si="27"/>
        <v>31500000</v>
      </c>
      <c r="Y12" s="83">
        <f t="shared" si="27"/>
        <v>31500000</v>
      </c>
      <c r="Z12" s="83">
        <f t="shared" si="27"/>
        <v>31500000</v>
      </c>
      <c r="AA12" s="83">
        <f t="shared" si="27"/>
        <v>35000000</v>
      </c>
      <c r="AB12" s="83">
        <f t="shared" si="27"/>
        <v>35000000</v>
      </c>
      <c r="AC12" s="83">
        <f t="shared" si="27"/>
        <v>35000000</v>
      </c>
      <c r="AD12" s="83">
        <f t="shared" si="27"/>
        <v>35000000</v>
      </c>
      <c r="AE12" s="83">
        <f t="shared" si="27"/>
        <v>35000000</v>
      </c>
      <c r="AF12" s="83">
        <f t="shared" si="27"/>
        <v>35000000</v>
      </c>
      <c r="AG12" s="83">
        <f t="shared" si="27"/>
        <v>35000000</v>
      </c>
      <c r="AH12" s="83">
        <f t="shared" si="27"/>
        <v>35000000</v>
      </c>
      <c r="AI12" s="83">
        <f t="shared" si="27"/>
        <v>35000000</v>
      </c>
      <c r="AJ12" s="83">
        <f t="shared" si="27"/>
        <v>35000000</v>
      </c>
      <c r="AK12" s="83">
        <f t="shared" si="27"/>
        <v>35000000</v>
      </c>
      <c r="AL12" s="83">
        <f t="shared" si="27"/>
        <v>35000000</v>
      </c>
      <c r="AM12" s="83">
        <f t="shared" si="27"/>
        <v>35000000</v>
      </c>
      <c r="AN12" s="83">
        <f t="shared" si="27"/>
        <v>35000000</v>
      </c>
      <c r="AO12" s="83">
        <f t="shared" si="27"/>
        <v>35000000</v>
      </c>
      <c r="AP12" s="83">
        <f t="shared" si="28"/>
        <v>35000000</v>
      </c>
      <c r="AQ12" s="83">
        <f t="shared" si="28"/>
        <v>35000000</v>
      </c>
      <c r="AR12" s="83">
        <f t="shared" si="28"/>
        <v>35000000</v>
      </c>
      <c r="AS12" s="83">
        <f t="shared" si="28"/>
        <v>35000000</v>
      </c>
      <c r="AT12" s="83">
        <f t="shared" si="28"/>
        <v>35000000</v>
      </c>
      <c r="AU12" s="83">
        <f t="shared" si="28"/>
        <v>35000000</v>
      </c>
      <c r="AV12" s="83">
        <f t="shared" si="28"/>
        <v>35000000</v>
      </c>
      <c r="AW12" s="83">
        <f t="shared" si="28"/>
        <v>35000000</v>
      </c>
      <c r="AX12" s="83">
        <f t="shared" si="28"/>
        <v>35000000</v>
      </c>
      <c r="AY12" s="83">
        <f t="shared" si="28"/>
        <v>35000000</v>
      </c>
      <c r="AZ12" s="83">
        <f t="shared" si="28"/>
        <v>35000000</v>
      </c>
      <c r="BA12" s="83">
        <f t="shared" si="28"/>
        <v>35000000</v>
      </c>
      <c r="BB12" s="83">
        <f t="shared" si="29"/>
        <v>35000000</v>
      </c>
      <c r="BC12" s="83">
        <f t="shared" si="29"/>
        <v>35000000</v>
      </c>
      <c r="BD12" s="83">
        <f t="shared" si="29"/>
        <v>35000000</v>
      </c>
      <c r="BE12" s="83">
        <f t="shared" si="29"/>
        <v>35000000</v>
      </c>
      <c r="BF12" s="83">
        <f t="shared" si="29"/>
        <v>35000000</v>
      </c>
      <c r="BG12" s="83">
        <f t="shared" si="29"/>
        <v>35000000</v>
      </c>
      <c r="BH12" s="83">
        <f t="shared" si="29"/>
        <v>35000000</v>
      </c>
    </row>
    <row r="13" spans="1:61" s="104" customFormat="1" x14ac:dyDescent="0.2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</row>
    <row r="14" spans="1:61" x14ac:dyDescent="0.2">
      <c r="A14" s="1" t="s">
        <v>807</v>
      </c>
      <c r="B14" s="31"/>
    </row>
    <row r="15" spans="1:61" x14ac:dyDescent="0.2">
      <c r="A15" t="s">
        <v>619</v>
      </c>
      <c r="B15" s="31"/>
      <c r="C15" s="122">
        <f t="shared" ref="C15:AL15" si="30" xml:space="preserve"> D16</f>
        <v>0</v>
      </c>
      <c r="D15" s="122">
        <f t="shared" si="30"/>
        <v>0</v>
      </c>
      <c r="E15" s="122">
        <f t="shared" si="30"/>
        <v>8</v>
      </c>
      <c r="F15" s="122">
        <f t="shared" si="30"/>
        <v>8</v>
      </c>
      <c r="G15" s="122">
        <f t="shared" si="30"/>
        <v>8</v>
      </c>
      <c r="H15" s="122">
        <f t="shared" si="30"/>
        <v>8</v>
      </c>
      <c r="I15" s="122">
        <f t="shared" si="30"/>
        <v>8</v>
      </c>
      <c r="J15" s="122">
        <f t="shared" si="30"/>
        <v>8</v>
      </c>
      <c r="K15" s="122">
        <f t="shared" si="30"/>
        <v>8</v>
      </c>
      <c r="L15" s="122">
        <f t="shared" si="30"/>
        <v>8</v>
      </c>
      <c r="M15" s="122">
        <f t="shared" si="30"/>
        <v>8</v>
      </c>
      <c r="N15" s="122">
        <f t="shared" si="30"/>
        <v>0</v>
      </c>
      <c r="O15" s="122">
        <f t="shared" si="30"/>
        <v>0</v>
      </c>
      <c r="P15" s="122">
        <f t="shared" si="30"/>
        <v>0</v>
      </c>
      <c r="Q15" s="122">
        <f t="shared" si="30"/>
        <v>0</v>
      </c>
      <c r="R15" s="122">
        <f t="shared" si="30"/>
        <v>0</v>
      </c>
      <c r="S15" s="122">
        <f t="shared" si="30"/>
        <v>0</v>
      </c>
      <c r="T15" s="122">
        <f t="shared" si="30"/>
        <v>0</v>
      </c>
      <c r="U15" s="122">
        <f t="shared" si="30"/>
        <v>0</v>
      </c>
      <c r="V15" s="122">
        <f t="shared" si="30"/>
        <v>0</v>
      </c>
      <c r="W15" s="122">
        <f t="shared" si="30"/>
        <v>0</v>
      </c>
      <c r="X15" s="122">
        <f t="shared" si="30"/>
        <v>0</v>
      </c>
      <c r="Y15" s="122">
        <f t="shared" si="30"/>
        <v>0</v>
      </c>
      <c r="Z15" s="122">
        <f t="shared" si="30"/>
        <v>0</v>
      </c>
      <c r="AA15" s="122">
        <f t="shared" si="30"/>
        <v>0</v>
      </c>
      <c r="AB15" s="122">
        <f t="shared" si="30"/>
        <v>0</v>
      </c>
      <c r="AC15" s="122">
        <f t="shared" si="30"/>
        <v>0</v>
      </c>
      <c r="AD15" s="122">
        <f t="shared" si="30"/>
        <v>0</v>
      </c>
      <c r="AE15" s="122">
        <f t="shared" si="30"/>
        <v>0</v>
      </c>
      <c r="AF15" s="122">
        <f t="shared" si="30"/>
        <v>0</v>
      </c>
      <c r="AG15" s="122">
        <f t="shared" si="30"/>
        <v>0</v>
      </c>
      <c r="AH15" s="122">
        <f t="shared" si="30"/>
        <v>0</v>
      </c>
      <c r="AI15" s="122">
        <f t="shared" si="30"/>
        <v>0</v>
      </c>
      <c r="AJ15" s="122">
        <f t="shared" si="30"/>
        <v>0</v>
      </c>
      <c r="AK15" s="122">
        <f t="shared" si="30"/>
        <v>0</v>
      </c>
      <c r="AL15" s="122">
        <f t="shared" si="30"/>
        <v>0</v>
      </c>
      <c r="AM15" s="122">
        <f t="shared" ref="AM15:BH15" si="31" xml:space="preserve"> BI16</f>
        <v>0</v>
      </c>
      <c r="AN15" s="122">
        <f t="shared" si="31"/>
        <v>0</v>
      </c>
      <c r="AO15" s="122">
        <f t="shared" si="31"/>
        <v>0</v>
      </c>
      <c r="AP15" s="122">
        <f t="shared" si="31"/>
        <v>0</v>
      </c>
      <c r="AQ15" s="122">
        <f t="shared" si="31"/>
        <v>0</v>
      </c>
      <c r="AR15" s="122">
        <f t="shared" si="31"/>
        <v>0</v>
      </c>
      <c r="AS15" s="122">
        <f t="shared" si="31"/>
        <v>0</v>
      </c>
      <c r="AT15" s="122">
        <f t="shared" si="31"/>
        <v>0</v>
      </c>
      <c r="AU15" s="122">
        <f t="shared" si="31"/>
        <v>0</v>
      </c>
      <c r="AV15" s="122">
        <f t="shared" si="31"/>
        <v>0</v>
      </c>
      <c r="AW15" s="122">
        <f t="shared" si="31"/>
        <v>0</v>
      </c>
      <c r="AX15" s="122">
        <f t="shared" si="31"/>
        <v>0</v>
      </c>
      <c r="AY15" s="122">
        <f t="shared" si="31"/>
        <v>0</v>
      </c>
      <c r="AZ15" s="122">
        <f t="shared" si="31"/>
        <v>0</v>
      </c>
      <c r="BA15" s="122">
        <f t="shared" si="31"/>
        <v>0</v>
      </c>
      <c r="BB15" s="122">
        <f t="shared" si="31"/>
        <v>0</v>
      </c>
      <c r="BC15" s="122">
        <f t="shared" si="31"/>
        <v>0</v>
      </c>
      <c r="BD15" s="122">
        <f t="shared" si="31"/>
        <v>0</v>
      </c>
      <c r="BE15" s="122">
        <f t="shared" si="31"/>
        <v>0</v>
      </c>
      <c r="BF15" s="122">
        <f t="shared" si="31"/>
        <v>0</v>
      </c>
      <c r="BG15" s="122">
        <f t="shared" si="31"/>
        <v>0</v>
      </c>
      <c r="BH15" s="122">
        <f t="shared" si="31"/>
        <v>0</v>
      </c>
    </row>
    <row r="16" spans="1:61" x14ac:dyDescent="0.2">
      <c r="A16" t="s">
        <v>620</v>
      </c>
      <c r="B16" s="31"/>
      <c r="C16" s="122">
        <f t="shared" ref="C16:AL16" si="32" xml:space="preserve"> D17-C17</f>
        <v>0</v>
      </c>
      <c r="D16" s="122">
        <f t="shared" si="32"/>
        <v>0</v>
      </c>
      <c r="E16" s="122">
        <f t="shared" si="32"/>
        <v>0</v>
      </c>
      <c r="F16" s="122">
        <f t="shared" si="32"/>
        <v>8</v>
      </c>
      <c r="G16" s="122">
        <f t="shared" si="32"/>
        <v>8</v>
      </c>
      <c r="H16" s="122">
        <f t="shared" si="32"/>
        <v>8</v>
      </c>
      <c r="I16" s="122">
        <f t="shared" si="32"/>
        <v>8</v>
      </c>
      <c r="J16" s="122">
        <f xml:space="preserve"> K17-J17</f>
        <v>8</v>
      </c>
      <c r="K16" s="122">
        <f t="shared" si="32"/>
        <v>8</v>
      </c>
      <c r="L16" s="122">
        <f t="shared" si="32"/>
        <v>8</v>
      </c>
      <c r="M16" s="122">
        <f t="shared" si="32"/>
        <v>8</v>
      </c>
      <c r="N16" s="122">
        <f t="shared" si="32"/>
        <v>8</v>
      </c>
      <c r="O16" s="122">
        <f t="shared" si="32"/>
        <v>0</v>
      </c>
      <c r="P16" s="122">
        <f t="shared" si="32"/>
        <v>0</v>
      </c>
      <c r="Q16" s="122">
        <f t="shared" si="32"/>
        <v>0</v>
      </c>
      <c r="R16" s="122">
        <f t="shared" si="32"/>
        <v>0</v>
      </c>
      <c r="S16" s="122">
        <f t="shared" si="32"/>
        <v>0</v>
      </c>
      <c r="T16" s="122">
        <f t="shared" si="32"/>
        <v>0</v>
      </c>
      <c r="U16" s="122">
        <f t="shared" si="32"/>
        <v>0</v>
      </c>
      <c r="V16" s="122">
        <f t="shared" si="32"/>
        <v>0</v>
      </c>
      <c r="W16" s="122">
        <f t="shared" si="32"/>
        <v>0</v>
      </c>
      <c r="X16" s="122">
        <f t="shared" si="32"/>
        <v>0</v>
      </c>
      <c r="Y16" s="122">
        <f t="shared" si="32"/>
        <v>0</v>
      </c>
      <c r="Z16" s="122">
        <f t="shared" si="32"/>
        <v>0</v>
      </c>
      <c r="AA16" s="122">
        <f t="shared" si="32"/>
        <v>0</v>
      </c>
      <c r="AB16" s="122">
        <f t="shared" si="32"/>
        <v>0</v>
      </c>
      <c r="AC16" s="122">
        <f t="shared" si="32"/>
        <v>0</v>
      </c>
      <c r="AD16" s="122">
        <f t="shared" si="32"/>
        <v>0</v>
      </c>
      <c r="AE16" s="122">
        <f t="shared" si="32"/>
        <v>0</v>
      </c>
      <c r="AF16" s="122">
        <f t="shared" si="32"/>
        <v>0</v>
      </c>
      <c r="AG16" s="122">
        <f t="shared" si="32"/>
        <v>0</v>
      </c>
      <c r="AH16" s="122">
        <f t="shared" si="32"/>
        <v>0</v>
      </c>
      <c r="AI16" s="122">
        <f t="shared" si="32"/>
        <v>0</v>
      </c>
      <c r="AJ16" s="122">
        <f t="shared" si="32"/>
        <v>0</v>
      </c>
      <c r="AK16" s="122">
        <f t="shared" si="32"/>
        <v>0</v>
      </c>
      <c r="AL16" s="122">
        <f t="shared" si="32"/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2">
        <v>0</v>
      </c>
      <c r="AS16" s="122">
        <v>0</v>
      </c>
      <c r="AT16" s="122"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0</v>
      </c>
      <c r="BB16" s="122">
        <v>0</v>
      </c>
      <c r="BC16" s="122">
        <v>0</v>
      </c>
      <c r="BD16" s="122">
        <v>0</v>
      </c>
      <c r="BE16" s="122">
        <v>0</v>
      </c>
      <c r="BF16" s="122">
        <v>0</v>
      </c>
      <c r="BG16" s="122">
        <v>0</v>
      </c>
      <c r="BH16" s="122">
        <v>0</v>
      </c>
    </row>
    <row r="17" spans="1:61" x14ac:dyDescent="0.2">
      <c r="A17" t="s">
        <v>621</v>
      </c>
      <c r="B17" s="31"/>
      <c r="C17">
        <f xml:space="preserve"> 4 * C42</f>
        <v>0</v>
      </c>
      <c r="D17">
        <f t="shared" ref="D17:BH17" si="33" xml:space="preserve"> 4 * D42</f>
        <v>0</v>
      </c>
      <c r="E17">
        <f t="shared" si="33"/>
        <v>0</v>
      </c>
      <c r="F17">
        <f t="shared" si="33"/>
        <v>0</v>
      </c>
      <c r="G17">
        <f t="shared" si="33"/>
        <v>8</v>
      </c>
      <c r="H17">
        <f t="shared" si="33"/>
        <v>16</v>
      </c>
      <c r="I17">
        <f t="shared" si="33"/>
        <v>24</v>
      </c>
      <c r="J17">
        <f t="shared" si="33"/>
        <v>32</v>
      </c>
      <c r="K17">
        <f t="shared" si="33"/>
        <v>40</v>
      </c>
      <c r="L17">
        <f t="shared" si="33"/>
        <v>48</v>
      </c>
      <c r="M17">
        <f t="shared" si="33"/>
        <v>56</v>
      </c>
      <c r="N17">
        <f t="shared" si="33"/>
        <v>64</v>
      </c>
      <c r="O17">
        <f t="shared" si="33"/>
        <v>72</v>
      </c>
      <c r="P17">
        <f t="shared" si="33"/>
        <v>72</v>
      </c>
      <c r="Q17">
        <f t="shared" si="33"/>
        <v>72</v>
      </c>
      <c r="R17">
        <f t="shared" si="33"/>
        <v>72</v>
      </c>
      <c r="S17">
        <f t="shared" si="33"/>
        <v>72</v>
      </c>
      <c r="T17">
        <f t="shared" si="33"/>
        <v>72</v>
      </c>
      <c r="U17">
        <f t="shared" si="33"/>
        <v>72</v>
      </c>
      <c r="V17">
        <f t="shared" si="33"/>
        <v>72</v>
      </c>
      <c r="W17">
        <f t="shared" si="33"/>
        <v>72</v>
      </c>
      <c r="X17">
        <f t="shared" si="33"/>
        <v>72</v>
      </c>
      <c r="Y17">
        <f t="shared" si="33"/>
        <v>72</v>
      </c>
      <c r="Z17">
        <f t="shared" si="33"/>
        <v>72</v>
      </c>
      <c r="AA17">
        <f t="shared" si="33"/>
        <v>72</v>
      </c>
      <c r="AB17">
        <f t="shared" si="33"/>
        <v>72</v>
      </c>
      <c r="AC17">
        <f t="shared" si="33"/>
        <v>72</v>
      </c>
      <c r="AD17">
        <f t="shared" si="33"/>
        <v>72</v>
      </c>
      <c r="AE17">
        <f t="shared" si="33"/>
        <v>72</v>
      </c>
      <c r="AF17">
        <f t="shared" si="33"/>
        <v>72</v>
      </c>
      <c r="AG17">
        <f t="shared" si="33"/>
        <v>72</v>
      </c>
      <c r="AH17">
        <f t="shared" si="33"/>
        <v>72</v>
      </c>
      <c r="AI17">
        <f t="shared" si="33"/>
        <v>72</v>
      </c>
      <c r="AJ17">
        <f t="shared" si="33"/>
        <v>72</v>
      </c>
      <c r="AK17">
        <f t="shared" si="33"/>
        <v>72</v>
      </c>
      <c r="AL17">
        <f t="shared" si="33"/>
        <v>72</v>
      </c>
      <c r="AM17">
        <f t="shared" si="33"/>
        <v>72</v>
      </c>
      <c r="AN17">
        <f t="shared" si="33"/>
        <v>72</v>
      </c>
      <c r="AO17">
        <f t="shared" si="33"/>
        <v>72</v>
      </c>
      <c r="AP17">
        <f t="shared" si="33"/>
        <v>72</v>
      </c>
      <c r="AQ17">
        <f t="shared" si="33"/>
        <v>72</v>
      </c>
      <c r="AR17">
        <f t="shared" si="33"/>
        <v>72</v>
      </c>
      <c r="AS17">
        <f t="shared" si="33"/>
        <v>72</v>
      </c>
      <c r="AT17">
        <f t="shared" si="33"/>
        <v>72</v>
      </c>
      <c r="AU17">
        <f t="shared" si="33"/>
        <v>72</v>
      </c>
      <c r="AV17">
        <f t="shared" si="33"/>
        <v>72</v>
      </c>
      <c r="AW17">
        <f t="shared" si="33"/>
        <v>72</v>
      </c>
      <c r="AX17">
        <f t="shared" si="33"/>
        <v>72</v>
      </c>
      <c r="AY17">
        <f t="shared" si="33"/>
        <v>72</v>
      </c>
      <c r="AZ17">
        <f t="shared" si="33"/>
        <v>72</v>
      </c>
      <c r="BA17">
        <f t="shared" si="33"/>
        <v>72</v>
      </c>
      <c r="BB17">
        <f t="shared" si="33"/>
        <v>72</v>
      </c>
      <c r="BC17">
        <f t="shared" si="33"/>
        <v>72</v>
      </c>
      <c r="BD17">
        <f t="shared" si="33"/>
        <v>72</v>
      </c>
      <c r="BE17">
        <f t="shared" si="33"/>
        <v>72</v>
      </c>
      <c r="BF17">
        <f t="shared" si="33"/>
        <v>72</v>
      </c>
      <c r="BG17">
        <f t="shared" si="33"/>
        <v>72</v>
      </c>
      <c r="BH17">
        <f t="shared" si="33"/>
        <v>72</v>
      </c>
    </row>
    <row r="18" spans="1:61" s="82" customFormat="1" x14ac:dyDescent="0.2">
      <c r="A18" s="82" t="s">
        <v>622</v>
      </c>
      <c r="B18" s="156"/>
      <c r="C18" s="83">
        <f>C16*'Levellized Salt Sep Plant'!$C$4</f>
        <v>0</v>
      </c>
      <c r="D18" s="83">
        <f>D16*'Levellized Salt Sep Plant'!$C$4</f>
        <v>0</v>
      </c>
      <c r="E18" s="83">
        <f>E16*'Levellized Salt Sep Plant'!$C$4</f>
        <v>0</v>
      </c>
      <c r="F18" s="83">
        <f>F16*'Levellized Salt Sep Plant'!$C$4</f>
        <v>132000000</v>
      </c>
      <c r="G18" s="83">
        <f>G16*'Levellized Salt Sep Plant'!$C$4</f>
        <v>132000000</v>
      </c>
      <c r="H18" s="83">
        <f>H16*'Levellized Salt Sep Plant'!$C$4</f>
        <v>132000000</v>
      </c>
      <c r="I18" s="83">
        <f>I16*'Levellized Salt Sep Plant'!$C$4</f>
        <v>132000000</v>
      </c>
      <c r="J18" s="83">
        <f>J16*'Levellized Salt Sep Plant'!$C$4</f>
        <v>132000000</v>
      </c>
      <c r="K18" s="83">
        <f>K16*'Levellized Salt Sep Plant'!$C$4</f>
        <v>132000000</v>
      </c>
      <c r="L18" s="83">
        <f>L16*'Levellized Salt Sep Plant'!$C$4</f>
        <v>132000000</v>
      </c>
      <c r="M18" s="83">
        <f>M16*'Levellized Salt Sep Plant'!$C$4</f>
        <v>132000000</v>
      </c>
      <c r="N18" s="83">
        <f>N16*'Levellized Salt Sep Plant'!$C$4</f>
        <v>132000000</v>
      </c>
      <c r="O18" s="83">
        <f>O16*'Levellized Salt Sep Plant'!$C$4</f>
        <v>0</v>
      </c>
      <c r="P18" s="83">
        <f>P16*'Levellized Salt Sep Plant'!$C$4</f>
        <v>0</v>
      </c>
      <c r="Q18" s="83">
        <f>Q16*'Levellized Salt Sep Plant'!$C$4</f>
        <v>0</v>
      </c>
      <c r="R18" s="83">
        <f>R16*'Levellized Salt Sep Plant'!$C$4</f>
        <v>0</v>
      </c>
      <c r="S18" s="83">
        <f>S16*'Levellized Salt Sep Plant'!$C$4</f>
        <v>0</v>
      </c>
      <c r="T18" s="83">
        <f>T16*'Levellized Salt Sep Plant'!$C$4</f>
        <v>0</v>
      </c>
      <c r="U18" s="83">
        <f>U16*'Levellized Salt Sep Plant'!$C$4</f>
        <v>0</v>
      </c>
      <c r="V18" s="83">
        <f>V16*'Levellized Salt Sep Plant'!$C$4</f>
        <v>0</v>
      </c>
      <c r="W18" s="83">
        <f>W16*'Levellized Salt Sep Plant'!$C$4</f>
        <v>0</v>
      </c>
      <c r="X18" s="83">
        <f>X16*'Levellized Salt Sep Plant'!$C$4</f>
        <v>0</v>
      </c>
      <c r="Y18" s="83">
        <f>Y16*'Levellized Salt Sep Plant'!$C$4</f>
        <v>0</v>
      </c>
      <c r="Z18" s="83">
        <f>Z16*'Levellized Salt Sep Plant'!$C$4</f>
        <v>0</v>
      </c>
      <c r="AA18" s="83">
        <f>AA16*'Levellized Salt Sep Plant'!$C$4</f>
        <v>0</v>
      </c>
      <c r="AB18" s="83">
        <f>AB16*'Levellized Salt Sep Plant'!$C$4</f>
        <v>0</v>
      </c>
      <c r="AC18" s="83">
        <f>AC16*'Levellized Salt Sep Plant'!$C$4</f>
        <v>0</v>
      </c>
      <c r="AD18" s="83">
        <f>AD16*'Levellized Salt Sep Plant'!$C$4</f>
        <v>0</v>
      </c>
      <c r="AE18" s="83">
        <f>AE16*'Levellized Salt Sep Plant'!$C$4</f>
        <v>0</v>
      </c>
      <c r="AF18" s="83">
        <f>AF16*'Levellized Salt Sep Plant'!$C$4</f>
        <v>0</v>
      </c>
      <c r="AG18" s="83">
        <f>AG16*'Levellized Salt Sep Plant'!$C$4</f>
        <v>0</v>
      </c>
      <c r="AH18" s="83">
        <f>AH16*'Levellized Salt Sep Plant'!$C$4</f>
        <v>0</v>
      </c>
      <c r="AI18" s="83">
        <f>AI16*'Levellized Salt Sep Plant'!$C$4</f>
        <v>0</v>
      </c>
      <c r="AJ18" s="83">
        <f>AJ16*'Levellized Salt Sep Plant'!$C$4</f>
        <v>0</v>
      </c>
      <c r="AK18" s="83">
        <f>AK16*'Levellized Salt Sep Plant'!$C$4</f>
        <v>0</v>
      </c>
      <c r="AL18" s="83">
        <f>AL16*'Levellized Salt Sep Plant'!$C$4</f>
        <v>0</v>
      </c>
      <c r="AM18" s="83">
        <f>AM16*'Levellized Salt Sep Plant'!$C$4</f>
        <v>0</v>
      </c>
      <c r="AN18" s="83">
        <f>AN16*'Levellized Salt Sep Plant'!$C$4</f>
        <v>0</v>
      </c>
      <c r="AO18" s="83">
        <f>AO16*'Levellized Salt Sep Plant'!$C$4</f>
        <v>0</v>
      </c>
      <c r="AP18" s="83">
        <f>AP16*'Levellized Salt Sep Plant'!$C$4</f>
        <v>0</v>
      </c>
      <c r="AQ18" s="83">
        <f>AQ16*'Levellized Salt Sep Plant'!$C$4</f>
        <v>0</v>
      </c>
      <c r="AR18" s="83">
        <f>AR16*'Levellized Salt Sep Plant'!$C$4</f>
        <v>0</v>
      </c>
      <c r="AS18" s="83">
        <f>AS16*'Levellized Salt Sep Plant'!$C$4</f>
        <v>0</v>
      </c>
      <c r="AT18" s="83">
        <f>AT16*'Levellized Salt Sep Plant'!$C$4</f>
        <v>0</v>
      </c>
      <c r="AU18" s="83">
        <f>AU16*'Levellized Salt Sep Plant'!$C$4</f>
        <v>0</v>
      </c>
      <c r="AV18" s="83">
        <f>AV16*'Levellized Salt Sep Plant'!$C$4</f>
        <v>0</v>
      </c>
      <c r="AW18" s="83">
        <f>AW16*'Levellized Salt Sep Plant'!$C$4</f>
        <v>0</v>
      </c>
      <c r="AX18" s="83">
        <f>AX16*'Levellized Salt Sep Plant'!$C$4</f>
        <v>0</v>
      </c>
      <c r="AY18" s="83">
        <f>AY16*'Levellized Salt Sep Plant'!$C$4</f>
        <v>0</v>
      </c>
      <c r="AZ18" s="83">
        <f>AZ16*'Levellized Salt Sep Plant'!$C$4</f>
        <v>0</v>
      </c>
      <c r="BA18" s="83">
        <f>BA16*'Levellized Salt Sep Plant'!$C$4</f>
        <v>0</v>
      </c>
      <c r="BB18" s="83">
        <f>BB16*'Levellized Salt Sep Plant'!$C$4</f>
        <v>0</v>
      </c>
      <c r="BC18" s="83">
        <f>BC16*'Levellized Salt Sep Plant'!$C$4</f>
        <v>0</v>
      </c>
      <c r="BD18" s="83">
        <f>BD16*'Levellized Salt Sep Plant'!$C$4</f>
        <v>0</v>
      </c>
      <c r="BE18" s="83">
        <f>BE16*'Levellized Salt Sep Plant'!$C$4</f>
        <v>0</v>
      </c>
      <c r="BF18" s="83">
        <f>BF16*'Levellized Salt Sep Plant'!$C$4</f>
        <v>0</v>
      </c>
      <c r="BG18" s="83">
        <f>BG16*'Levellized Salt Sep Plant'!$C$4</f>
        <v>0</v>
      </c>
      <c r="BH18" s="83">
        <f>BH16*'Levellized Salt Sep Plant'!$C$4</f>
        <v>0</v>
      </c>
      <c r="BI18" s="83"/>
    </row>
    <row r="19" spans="1:61" s="82" customFormat="1" x14ac:dyDescent="0.2">
      <c r="A19" s="82" t="s">
        <v>623</v>
      </c>
      <c r="B19" s="156"/>
      <c r="C19" s="83">
        <f>C17*'Levellized Salt Sep Plant'!$C$25</f>
        <v>0</v>
      </c>
      <c r="D19" s="83">
        <f>D17*'Levellized Salt Sep Plant'!$C$25</f>
        <v>0</v>
      </c>
      <c r="E19" s="83">
        <f>E17*'Levellized Salt Sep Plant'!$C$25</f>
        <v>0</v>
      </c>
      <c r="F19" s="83">
        <f>F17*'Levellized Salt Sep Plant'!$C$25</f>
        <v>0</v>
      </c>
      <c r="G19" s="83">
        <f>G17*'Levellized Salt Sep Plant'!$C$25</f>
        <v>15155879.475200001</v>
      </c>
      <c r="H19" s="83">
        <f>H17*'Levellized Salt Sep Plant'!$C$25</f>
        <v>30311758.950400002</v>
      </c>
      <c r="I19" s="83">
        <f>I17*'Levellized Salt Sep Plant'!$C$25</f>
        <v>45467638.425600007</v>
      </c>
      <c r="J19" s="83">
        <f>J17*'Levellized Salt Sep Plant'!$C$25</f>
        <v>60623517.900800005</v>
      </c>
      <c r="K19" s="83">
        <f>K17*'Levellized Salt Sep Plant'!$C$25</f>
        <v>75779397.376000002</v>
      </c>
      <c r="L19" s="83">
        <f>L17*'Levellized Salt Sep Plant'!$C$25</f>
        <v>90935276.851200014</v>
      </c>
      <c r="M19" s="83">
        <f>M17*'Levellized Salt Sep Plant'!$C$25</f>
        <v>106091156.32640001</v>
      </c>
      <c r="N19" s="83">
        <f>N17*'Levellized Salt Sep Plant'!$C$25</f>
        <v>121247035.80160001</v>
      </c>
      <c r="O19" s="83">
        <f>O17*'Levellized Salt Sep Plant'!$C$25</f>
        <v>136402915.27680001</v>
      </c>
      <c r="P19" s="83">
        <f>P17*'Levellized Salt Sep Plant'!$C$25</f>
        <v>136402915.27680001</v>
      </c>
      <c r="Q19" s="83">
        <f>Q17*'Levellized Salt Sep Plant'!$C$25</f>
        <v>136402915.27680001</v>
      </c>
      <c r="R19" s="83">
        <f>R17*'Levellized Salt Sep Plant'!$C$25</f>
        <v>136402915.27680001</v>
      </c>
      <c r="S19" s="83">
        <f>S17*'Levellized Salt Sep Plant'!$C$25</f>
        <v>136402915.27680001</v>
      </c>
      <c r="T19" s="83">
        <f>T17*'Levellized Salt Sep Plant'!$C$25</f>
        <v>136402915.27680001</v>
      </c>
      <c r="U19" s="83">
        <f>U17*'Levellized Salt Sep Plant'!$C$25</f>
        <v>136402915.27680001</v>
      </c>
      <c r="V19" s="83">
        <f>V17*'Levellized Salt Sep Plant'!$C$25</f>
        <v>136402915.27680001</v>
      </c>
      <c r="W19" s="83">
        <f>W17*'Levellized Salt Sep Plant'!$C$25</f>
        <v>136402915.27680001</v>
      </c>
      <c r="X19" s="83">
        <f>X17*'Levellized Salt Sep Plant'!$C$25</f>
        <v>136402915.27680001</v>
      </c>
      <c r="Y19" s="83">
        <f>Y17*'Levellized Salt Sep Plant'!$C$25</f>
        <v>136402915.27680001</v>
      </c>
      <c r="Z19" s="83">
        <f>Z17*'Levellized Salt Sep Plant'!$C$25</f>
        <v>136402915.27680001</v>
      </c>
      <c r="AA19" s="83">
        <f>AA17*'Levellized Salt Sep Plant'!$C$25</f>
        <v>136402915.27680001</v>
      </c>
      <c r="AB19" s="83">
        <f>AB17*'Levellized Salt Sep Plant'!$C$25</f>
        <v>136402915.27680001</v>
      </c>
      <c r="AC19" s="83">
        <f>AC17*'Levellized Salt Sep Plant'!$C$25</f>
        <v>136402915.27680001</v>
      </c>
      <c r="AD19" s="83">
        <f>AD17*'Levellized Salt Sep Plant'!$C$25</f>
        <v>136402915.27680001</v>
      </c>
      <c r="AE19" s="83">
        <f>AE17*'Levellized Salt Sep Plant'!$C$25</f>
        <v>136402915.27680001</v>
      </c>
      <c r="AF19" s="83">
        <f>AF17*'Levellized Salt Sep Plant'!$C$25</f>
        <v>136402915.27680001</v>
      </c>
      <c r="AG19" s="83">
        <f>AG17*'Levellized Salt Sep Plant'!$C$25</f>
        <v>136402915.27680001</v>
      </c>
      <c r="AH19" s="83">
        <f>AH17*'Levellized Salt Sep Plant'!$C$25</f>
        <v>136402915.27680001</v>
      </c>
      <c r="AI19" s="83">
        <f>AI17*'Levellized Salt Sep Plant'!$C$25</f>
        <v>136402915.27680001</v>
      </c>
      <c r="AJ19" s="83">
        <f>AJ17*'Levellized Salt Sep Plant'!$C$25</f>
        <v>136402915.27680001</v>
      </c>
      <c r="AK19" s="83">
        <f>AK17*'Levellized Salt Sep Plant'!$C$25</f>
        <v>136402915.27680001</v>
      </c>
      <c r="AL19" s="83">
        <f>AL17*'Levellized Salt Sep Plant'!$C$25</f>
        <v>136402915.27680001</v>
      </c>
      <c r="AM19" s="83">
        <f>AM17*'Levellized Salt Sep Plant'!$C$25</f>
        <v>136402915.27680001</v>
      </c>
      <c r="AN19" s="83">
        <f>AN17*'Levellized Salt Sep Plant'!$C$25</f>
        <v>136402915.27680001</v>
      </c>
      <c r="AO19" s="83">
        <f>AO17*'Levellized Salt Sep Plant'!$C$25</f>
        <v>136402915.27680001</v>
      </c>
      <c r="AP19" s="83">
        <f>AP17*'Levellized Salt Sep Plant'!$C$25</f>
        <v>136402915.27680001</v>
      </c>
      <c r="AQ19" s="83">
        <f>AQ17*'Levellized Salt Sep Plant'!$C$25</f>
        <v>136402915.27680001</v>
      </c>
      <c r="AR19" s="83">
        <f>AR17*'Levellized Salt Sep Plant'!$C$25</f>
        <v>136402915.27680001</v>
      </c>
      <c r="AS19" s="83">
        <f>AS17*'Levellized Salt Sep Plant'!$C$25</f>
        <v>136402915.27680001</v>
      </c>
      <c r="AT19" s="83">
        <f>AT17*'Levellized Salt Sep Plant'!$C$25</f>
        <v>136402915.27680001</v>
      </c>
      <c r="AU19" s="83">
        <f>AU17*'Levellized Salt Sep Plant'!$C$25</f>
        <v>136402915.27680001</v>
      </c>
      <c r="AV19" s="83">
        <f>AV17*'Levellized Salt Sep Plant'!$C$25</f>
        <v>136402915.27680001</v>
      </c>
      <c r="AW19" s="83">
        <f>AW17*'Levellized Salt Sep Plant'!$C$25</f>
        <v>136402915.27680001</v>
      </c>
      <c r="AX19" s="83">
        <f>AX17*'Levellized Salt Sep Plant'!$C$25</f>
        <v>136402915.27680001</v>
      </c>
      <c r="AY19" s="83">
        <f>AY17*'Levellized Salt Sep Plant'!$C$25</f>
        <v>136402915.27680001</v>
      </c>
      <c r="AZ19" s="83">
        <f>AZ17*'Levellized Salt Sep Plant'!$C$25</f>
        <v>136402915.27680001</v>
      </c>
      <c r="BA19" s="83">
        <f>BA17*'Levellized Salt Sep Plant'!$C$25</f>
        <v>136402915.27680001</v>
      </c>
      <c r="BB19" s="83">
        <f>BB17*'Levellized Salt Sep Plant'!$C$25</f>
        <v>136402915.27680001</v>
      </c>
      <c r="BC19" s="83">
        <f>BC17*'Levellized Salt Sep Plant'!$C$25</f>
        <v>136402915.27680001</v>
      </c>
      <c r="BD19" s="83">
        <f>BD17*'Levellized Salt Sep Plant'!$C$25</f>
        <v>136402915.27680001</v>
      </c>
      <c r="BE19" s="83">
        <f>BE17*'Levellized Salt Sep Plant'!$C$25</f>
        <v>136402915.27680001</v>
      </c>
      <c r="BF19" s="83">
        <f>BF17*'Levellized Salt Sep Plant'!$C$25</f>
        <v>136402915.27680001</v>
      </c>
      <c r="BG19" s="83">
        <f>BG17*'Levellized Salt Sep Plant'!$C$25</f>
        <v>136402915.27680001</v>
      </c>
      <c r="BH19" s="83">
        <f>BH17*'Levellized Salt Sep Plant'!$C$25</f>
        <v>136402915.27680001</v>
      </c>
      <c r="BI19" s="83"/>
    </row>
    <row r="20" spans="1:61" s="82" customFormat="1" x14ac:dyDescent="0.2">
      <c r="A20" s="82" t="s">
        <v>730</v>
      </c>
      <c r="B20" s="156"/>
      <c r="C20" s="83">
        <f>C17*'Levellized Salt Sep Plant'!$C$30</f>
        <v>0</v>
      </c>
      <c r="D20" s="83">
        <f>D17*'Levellized Salt Sep Plant'!$C$30</f>
        <v>0</v>
      </c>
      <c r="E20" s="83">
        <f>E17*'Levellized Salt Sep Plant'!$C$30</f>
        <v>0</v>
      </c>
      <c r="F20" s="83">
        <f>F17*'Levellized Salt Sep Plant'!$C$30</f>
        <v>0</v>
      </c>
      <c r="G20" s="83">
        <f>G17*'Levellized Salt Sep Plant'!$C$30</f>
        <v>6224856</v>
      </c>
      <c r="H20" s="83">
        <f>H17*'Levellized Salt Sep Plant'!$C$30</f>
        <v>12449712</v>
      </c>
      <c r="I20" s="83">
        <f>I17*'Levellized Salt Sep Plant'!$C$30</f>
        <v>18674568</v>
      </c>
      <c r="J20" s="83">
        <f>J17*'Levellized Salt Sep Plant'!$C$30</f>
        <v>24899424</v>
      </c>
      <c r="K20" s="83">
        <f>K17*'Levellized Salt Sep Plant'!$C$30</f>
        <v>31124280</v>
      </c>
      <c r="L20" s="83">
        <f>L17*'Levellized Salt Sep Plant'!$C$30</f>
        <v>37349136</v>
      </c>
      <c r="M20" s="83">
        <f>M17*'Levellized Salt Sep Plant'!$C$30</f>
        <v>43573992</v>
      </c>
      <c r="N20" s="83">
        <f>N17*'Levellized Salt Sep Plant'!$C$30</f>
        <v>49798848</v>
      </c>
      <c r="O20" s="83">
        <f>O17*'Levellized Salt Sep Plant'!$C$30</f>
        <v>56023704</v>
      </c>
      <c r="P20" s="83">
        <f>P17*'Levellized Salt Sep Plant'!$C$30</f>
        <v>56023704</v>
      </c>
      <c r="Q20" s="83">
        <f>Q17*'Levellized Salt Sep Plant'!$C$30</f>
        <v>56023704</v>
      </c>
      <c r="R20" s="83">
        <f>R17*'Levellized Salt Sep Plant'!$C$30</f>
        <v>56023704</v>
      </c>
      <c r="S20" s="83">
        <f>S17*'Levellized Salt Sep Plant'!$C$30</f>
        <v>56023704</v>
      </c>
      <c r="T20" s="83">
        <f>T17*'Levellized Salt Sep Plant'!$C$30</f>
        <v>56023704</v>
      </c>
      <c r="U20" s="83">
        <f>U17*'Levellized Salt Sep Plant'!$C$30</f>
        <v>56023704</v>
      </c>
      <c r="V20" s="83">
        <f>V17*'Levellized Salt Sep Plant'!$C$30</f>
        <v>56023704</v>
      </c>
      <c r="W20" s="83">
        <f>W17*'Levellized Salt Sep Plant'!$C$30</f>
        <v>56023704</v>
      </c>
      <c r="X20" s="83">
        <f>X17*'Levellized Salt Sep Plant'!$C$30</f>
        <v>56023704</v>
      </c>
      <c r="Y20" s="83">
        <f>Y17*'Levellized Salt Sep Plant'!$C$30</f>
        <v>56023704</v>
      </c>
      <c r="Z20" s="83">
        <f>Z17*'Levellized Salt Sep Plant'!$C$30</f>
        <v>56023704</v>
      </c>
      <c r="AA20" s="83">
        <f>AA17*'Levellized Salt Sep Plant'!$C$30</f>
        <v>56023704</v>
      </c>
      <c r="AB20" s="83">
        <f>AB17*'Levellized Salt Sep Plant'!$C$30</f>
        <v>56023704</v>
      </c>
      <c r="AC20" s="83">
        <f>AC17*'Levellized Salt Sep Plant'!$C$30</f>
        <v>56023704</v>
      </c>
      <c r="AD20" s="83">
        <f>AD17*'Levellized Salt Sep Plant'!$C$30</f>
        <v>56023704</v>
      </c>
      <c r="AE20" s="83">
        <f>AE17*'Levellized Salt Sep Plant'!$C$30</f>
        <v>56023704</v>
      </c>
      <c r="AF20" s="83">
        <f>AF17*'Levellized Salt Sep Plant'!$C$30</f>
        <v>56023704</v>
      </c>
      <c r="AG20" s="83">
        <f>AG17*'Levellized Salt Sep Plant'!$C$30</f>
        <v>56023704</v>
      </c>
      <c r="AH20" s="83">
        <f>AH17*'Levellized Salt Sep Plant'!$C$30</f>
        <v>56023704</v>
      </c>
      <c r="AI20" s="83">
        <f>AI17*'Levellized Salt Sep Plant'!$C$30</f>
        <v>56023704</v>
      </c>
      <c r="AJ20" s="83">
        <f>AJ17*'Levellized Salt Sep Plant'!$C$30</f>
        <v>56023704</v>
      </c>
      <c r="AK20" s="83">
        <f>AK17*'Levellized Salt Sep Plant'!$C$30</f>
        <v>56023704</v>
      </c>
      <c r="AL20" s="83">
        <f>AL17*'Levellized Salt Sep Plant'!$C$30</f>
        <v>56023704</v>
      </c>
      <c r="AM20" s="83">
        <f>AM17*'Levellized Salt Sep Plant'!$C$30</f>
        <v>56023704</v>
      </c>
      <c r="AN20" s="83">
        <f>AN17*'Levellized Salt Sep Plant'!$C$30</f>
        <v>56023704</v>
      </c>
      <c r="AO20" s="83">
        <f>AO17*'Levellized Salt Sep Plant'!$C$30</f>
        <v>56023704</v>
      </c>
      <c r="AP20" s="83">
        <f>AP17*'Levellized Salt Sep Plant'!$C$30</f>
        <v>56023704</v>
      </c>
      <c r="AQ20" s="83">
        <f>AQ17*'Levellized Salt Sep Plant'!$C$30</f>
        <v>56023704</v>
      </c>
      <c r="AR20" s="83">
        <f>AR17*'Levellized Salt Sep Plant'!$C$30</f>
        <v>56023704</v>
      </c>
      <c r="AS20" s="83">
        <f>AS17*'Levellized Salt Sep Plant'!$C$30</f>
        <v>56023704</v>
      </c>
      <c r="AT20" s="83">
        <f>AT17*'Levellized Salt Sep Plant'!$C$30</f>
        <v>56023704</v>
      </c>
      <c r="AU20" s="83">
        <f>AU17*'Levellized Salt Sep Plant'!$C$30</f>
        <v>56023704</v>
      </c>
      <c r="AV20" s="83">
        <f>AV17*'Levellized Salt Sep Plant'!$C$30</f>
        <v>56023704</v>
      </c>
      <c r="AW20" s="83">
        <f>AW17*'Levellized Salt Sep Plant'!$C$30</f>
        <v>56023704</v>
      </c>
      <c r="AX20" s="83">
        <f>AX17*'Levellized Salt Sep Plant'!$C$30</f>
        <v>56023704</v>
      </c>
      <c r="AY20" s="83">
        <f>AY17*'Levellized Salt Sep Plant'!$C$30</f>
        <v>56023704</v>
      </c>
      <c r="AZ20" s="83">
        <f>AZ17*'Levellized Salt Sep Plant'!$C$30</f>
        <v>56023704</v>
      </c>
      <c r="BA20" s="83">
        <f>BA17*'Levellized Salt Sep Plant'!$C$30</f>
        <v>56023704</v>
      </c>
      <c r="BB20" s="83">
        <f>BB17*'Levellized Salt Sep Plant'!$C$30</f>
        <v>56023704</v>
      </c>
      <c r="BC20" s="83">
        <f>BC17*'Levellized Salt Sep Plant'!$C$30</f>
        <v>56023704</v>
      </c>
      <c r="BD20" s="83">
        <f>BD17*'Levellized Salt Sep Plant'!$C$30</f>
        <v>56023704</v>
      </c>
      <c r="BE20" s="83">
        <f>BE17*'Levellized Salt Sep Plant'!$C$30</f>
        <v>56023704</v>
      </c>
      <c r="BF20" s="83">
        <f>BF17*'Levellized Salt Sep Plant'!$C$30</f>
        <v>56023704</v>
      </c>
      <c r="BG20" s="83">
        <f>BG17*'Levellized Salt Sep Plant'!$C$30</f>
        <v>56023704</v>
      </c>
      <c r="BH20" s="83">
        <f>BH17*'Levellized Salt Sep Plant'!$C$30</f>
        <v>56023704</v>
      </c>
      <c r="BI20" s="83"/>
    </row>
    <row r="21" spans="1:61" x14ac:dyDescent="0.2">
      <c r="B21" s="3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x14ac:dyDescent="0.2">
      <c r="A22" t="s">
        <v>8</v>
      </c>
      <c r="B22" s="31"/>
      <c r="C22" s="107">
        <f xml:space="preserve"> IF(C23 &gt; 0, C33/(C33+C23), 0)</f>
        <v>0</v>
      </c>
      <c r="D22" s="107">
        <f t="shared" ref="D22:AM22" si="34" xml:space="preserve"> IF(D23 &gt; 0, D33/(D33+D23), 0)</f>
        <v>0</v>
      </c>
      <c r="E22" s="107">
        <f t="shared" si="34"/>
        <v>0</v>
      </c>
      <c r="F22" s="107">
        <f t="shared" si="34"/>
        <v>0</v>
      </c>
      <c r="G22" s="107">
        <f t="shared" si="34"/>
        <v>0.68068372096365526</v>
      </c>
      <c r="H22" s="107">
        <f t="shared" si="34"/>
        <v>0.72322645352388371</v>
      </c>
      <c r="I22" s="107">
        <f t="shared" si="34"/>
        <v>0.73740736437729315</v>
      </c>
      <c r="J22" s="107">
        <f t="shared" si="34"/>
        <v>0.74449781980399787</v>
      </c>
      <c r="K22" s="107">
        <f t="shared" si="34"/>
        <v>0.74875209306002066</v>
      </c>
      <c r="L22" s="107">
        <f t="shared" si="34"/>
        <v>0.73740736437729315</v>
      </c>
      <c r="M22" s="107">
        <f t="shared" si="34"/>
        <v>0.72930398674677344</v>
      </c>
      <c r="N22" s="107">
        <f t="shared" si="34"/>
        <v>0.63814098840342681</v>
      </c>
      <c r="O22" s="107">
        <f t="shared" si="34"/>
        <v>0.56723643413637936</v>
      </c>
      <c r="P22" s="107">
        <f t="shared" si="34"/>
        <v>0.56723643413637936</v>
      </c>
      <c r="Q22" s="107">
        <f t="shared" si="34"/>
        <v>0.56723643413637936</v>
      </c>
      <c r="R22" s="107">
        <f t="shared" si="34"/>
        <v>0.56723643413637936</v>
      </c>
      <c r="S22" s="107">
        <f t="shared" si="34"/>
        <v>0.56723643413637936</v>
      </c>
      <c r="T22" s="107">
        <f t="shared" si="34"/>
        <v>0.56723643413637936</v>
      </c>
      <c r="U22" s="107">
        <f t="shared" si="34"/>
        <v>0.56723643413637936</v>
      </c>
      <c r="V22" s="107">
        <f t="shared" si="34"/>
        <v>0.56723643413637936</v>
      </c>
      <c r="W22" s="107">
        <f t="shared" si="34"/>
        <v>0.56723643413637936</v>
      </c>
      <c r="X22" s="107">
        <f t="shared" si="34"/>
        <v>0.56723643413637936</v>
      </c>
      <c r="Y22" s="107">
        <f t="shared" si="34"/>
        <v>0.56723643413637936</v>
      </c>
      <c r="Z22" s="107">
        <f t="shared" si="34"/>
        <v>0.56723643413637936</v>
      </c>
      <c r="AA22" s="107">
        <f t="shared" si="34"/>
        <v>0.56723643413637936</v>
      </c>
      <c r="AB22" s="107">
        <f t="shared" si="34"/>
        <v>0.56723643413637936</v>
      </c>
      <c r="AC22" s="107">
        <f t="shared" si="34"/>
        <v>0.56723643413637936</v>
      </c>
      <c r="AD22" s="107">
        <f t="shared" si="34"/>
        <v>0.56723643413637936</v>
      </c>
      <c r="AE22" s="107">
        <f t="shared" si="34"/>
        <v>0.56723643413637936</v>
      </c>
      <c r="AF22" s="107">
        <f t="shared" si="34"/>
        <v>0.56723643413637936</v>
      </c>
      <c r="AG22" s="107">
        <f t="shared" si="34"/>
        <v>0.56723643413637936</v>
      </c>
      <c r="AH22" s="107">
        <f t="shared" si="34"/>
        <v>0.56723643413637936</v>
      </c>
      <c r="AI22" s="107">
        <f t="shared" si="34"/>
        <v>0.56723643413637936</v>
      </c>
      <c r="AJ22" s="107">
        <f t="shared" si="34"/>
        <v>0.56723643413637936</v>
      </c>
      <c r="AK22" s="107">
        <f t="shared" si="34"/>
        <v>0.56723643413637936</v>
      </c>
      <c r="AL22" s="107">
        <f t="shared" si="34"/>
        <v>0.56723643413637936</v>
      </c>
      <c r="AM22" s="107">
        <f t="shared" si="34"/>
        <v>0.56723643413637936</v>
      </c>
      <c r="AN22" s="107">
        <f t="shared" ref="AN22:AP22" si="35" xml:space="preserve"> IF(AN23 &gt; 0, AN33/(AN33+AN23), 0)</f>
        <v>0.56723643413637936</v>
      </c>
      <c r="AO22" s="107">
        <f t="shared" si="35"/>
        <v>0.56723643413637936</v>
      </c>
      <c r="AP22" s="107">
        <f t="shared" si="35"/>
        <v>0.56723643413637936</v>
      </c>
      <c r="AQ22" s="107">
        <f t="shared" ref="AQ22:AS22" si="36" xml:space="preserve"> IF(AQ23 &gt; 0, AQ33/(AQ33+AQ23), 0)</f>
        <v>0.56723643413637936</v>
      </c>
      <c r="AR22" s="107">
        <f t="shared" si="36"/>
        <v>0.56723643413637936</v>
      </c>
      <c r="AS22" s="107">
        <f t="shared" si="36"/>
        <v>0.56723643413637936</v>
      </c>
      <c r="AT22" s="107">
        <f t="shared" ref="AT22:AY22" si="37" xml:space="preserve"> IF(AT23 &gt; 0, AT33/(AT33+AT23), 0)</f>
        <v>0.56723643413637936</v>
      </c>
      <c r="AU22" s="107">
        <f t="shared" si="37"/>
        <v>0.56723643413637936</v>
      </c>
      <c r="AV22" s="107">
        <f t="shared" si="37"/>
        <v>0.56723643413637936</v>
      </c>
      <c r="AW22" s="107">
        <f t="shared" si="37"/>
        <v>0.56723643413637936</v>
      </c>
      <c r="AX22" s="107">
        <f t="shared" si="37"/>
        <v>0.56723643413637936</v>
      </c>
      <c r="AY22" s="107">
        <f t="shared" si="37"/>
        <v>0.56723643413637936</v>
      </c>
      <c r="AZ22" s="107">
        <f t="shared" ref="AZ22:BE22" si="38" xml:space="preserve"> IF(AZ23 &gt; 0, AZ33/(AZ33+AZ23), 0)</f>
        <v>0.56723643413637936</v>
      </c>
      <c r="BA22" s="107">
        <f t="shared" si="38"/>
        <v>0.56723643413637936</v>
      </c>
      <c r="BB22" s="107">
        <f t="shared" si="38"/>
        <v>0.56723643413637936</v>
      </c>
      <c r="BC22" s="107">
        <f t="shared" si="38"/>
        <v>0.56723643413637936</v>
      </c>
      <c r="BD22" s="107">
        <f t="shared" si="38"/>
        <v>0.56723643413637936</v>
      </c>
      <c r="BE22" s="107">
        <f t="shared" si="38"/>
        <v>0.56723643413637936</v>
      </c>
      <c r="BF22" s="107">
        <f t="shared" ref="BF22:BG22" si="39" xml:space="preserve"> IF(BF23 &gt; 0, BF33/(BF33+BF23), 0)</f>
        <v>0.56723643413637936</v>
      </c>
      <c r="BG22" s="107">
        <f t="shared" si="39"/>
        <v>0.56723643413637936</v>
      </c>
      <c r="BH22" s="107">
        <f t="shared" ref="BH22" si="40" xml:space="preserve"> IF(BH23 &gt; 0, BH33/(BH33+BH23), 0)</f>
        <v>0.56723643413637936</v>
      </c>
      <c r="BI22" s="107"/>
    </row>
    <row r="23" spans="1:61" x14ac:dyDescent="0.2">
      <c r="A23" t="s">
        <v>9</v>
      </c>
      <c r="B23" s="31"/>
      <c r="C23" s="5">
        <f>IF((C17*'Levellized Salt Sep Plant'!$C$39-C33)&gt;0,(C17*'Levellized Salt Sep Plant'!$C$39-C33),0)</f>
        <v>0</v>
      </c>
      <c r="D23" s="5">
        <f>IF((D17*'Levellized Salt Sep Plant'!$C$39-D33)&gt;0,(D17*'Levellized Salt Sep Plant'!$C$39-D33),0)</f>
        <v>0</v>
      </c>
      <c r="E23" s="5">
        <f>IF((E17*'Levellized Salt Sep Plant'!$C$39-E33)&gt;0,(E17*'Levellized Salt Sep Plant'!$C$39-E33),0)</f>
        <v>0</v>
      </c>
      <c r="F23" s="5">
        <f>IF((F17*'Levellized Salt Sep Plant'!$C$39-F33)&gt;0,(F17*'Levellized Salt Sep Plant'!$C$39-F33),0)</f>
        <v>0</v>
      </c>
      <c r="G23" s="5">
        <f>IF((G17*'Levellized Salt Sep Plant'!$C$39-G33)&gt;0,(G17*'Levellized Salt Sep Plant'!$C$39-G33),0)</f>
        <v>325328.53760363266</v>
      </c>
      <c r="H23" s="5">
        <f>IF((H17*'Levellized Salt Sep Plant'!$C$39-H33)&gt;0,(H17*'Levellized Salt Sep Plant'!$C$39-H33),0)</f>
        <v>563969.57520726533</v>
      </c>
      <c r="I23" s="5">
        <f>IF((I17*'Levellized Salt Sep Plant'!$C$39-I33)&gt;0,(I17*'Levellized Salt Sep Plant'!$C$39-I33),0)</f>
        <v>802610.61281089811</v>
      </c>
      <c r="J23" s="5">
        <f>IF((J17*'Levellized Salt Sep Plant'!$C$39-J33)&gt;0,(J17*'Levellized Salt Sep Plant'!$C$39-J33),0)</f>
        <v>1041251.6504145307</v>
      </c>
      <c r="K23" s="5">
        <f>IF((K17*'Levellized Salt Sep Plant'!$C$39-K33)&gt;0,(K17*'Levellized Salt Sep Plant'!$C$39-K33),0)</f>
        <v>1279892.6880181637</v>
      </c>
      <c r="L23" s="5">
        <f>IF((L17*'Levellized Salt Sep Plant'!$C$39-L33)&gt;0,(L17*'Levellized Salt Sep Plant'!$C$39-L33),0)</f>
        <v>1605221.2256217962</v>
      </c>
      <c r="M23" s="5">
        <f>IF((M17*'Levellized Salt Sep Plant'!$C$39-M33)&gt;0,(M17*'Levellized Salt Sep Plant'!$C$39-M33),0)</f>
        <v>1930549.7632254288</v>
      </c>
      <c r="N23" s="5">
        <f>IF((N17*'Levellized Salt Sep Plant'!$C$39-N33)&gt;0,(N17*'Levellized Salt Sep Plant'!$C$39-N33),0)</f>
        <v>2949378.3008290613</v>
      </c>
      <c r="O23" s="5">
        <f>IF((O17*'Levellized Salt Sep Plant'!$C$39-O33)&gt;0,(O17*'Levellized Salt Sep Plant'!$C$39-O33),0)</f>
        <v>3968206.8384326939</v>
      </c>
      <c r="P23" s="5">
        <f>IF((P17*'Levellized Salt Sep Plant'!$C$39-P33)&gt;0,(P17*'Levellized Salt Sep Plant'!$C$39-P33),0)</f>
        <v>3968206.8384326939</v>
      </c>
      <c r="Q23" s="5">
        <f>IF((Q17*'Levellized Salt Sep Plant'!$C$39-Q33)&gt;0,(Q17*'Levellized Salt Sep Plant'!$C$39-Q33),0)</f>
        <v>3968206.8384326939</v>
      </c>
      <c r="R23" s="5">
        <f>IF((R17*'Levellized Salt Sep Plant'!$C$39-R33)&gt;0,(R17*'Levellized Salt Sep Plant'!$C$39-R33),0)</f>
        <v>3968206.8384326939</v>
      </c>
      <c r="S23" s="5">
        <f>IF((S17*'Levellized Salt Sep Plant'!$C$39-S33)&gt;0,(S17*'Levellized Salt Sep Plant'!$C$39-S33),0)</f>
        <v>3968206.8384326939</v>
      </c>
      <c r="T23" s="5">
        <f>IF((T17*'Levellized Salt Sep Plant'!$C$39-T33)&gt;0,(T17*'Levellized Salt Sep Plant'!$C$39-T33),0)</f>
        <v>3968206.8384326939</v>
      </c>
      <c r="U23" s="5">
        <f>IF((U17*'Levellized Salt Sep Plant'!$C$39-U33)&gt;0,(U17*'Levellized Salt Sep Plant'!$C$39-U33),0)</f>
        <v>3968206.8384326939</v>
      </c>
      <c r="V23" s="5">
        <f>IF((V17*'Levellized Salt Sep Plant'!$C$39-V33)&gt;0,(V17*'Levellized Salt Sep Plant'!$C$39-V33),0)</f>
        <v>3968206.8384326939</v>
      </c>
      <c r="W23" s="5">
        <f>IF((W17*'Levellized Salt Sep Plant'!$C$39-W33)&gt;0,(W17*'Levellized Salt Sep Plant'!$C$39-W33),0)</f>
        <v>3968206.8384326939</v>
      </c>
      <c r="X23" s="5">
        <f>IF((X17*'Levellized Salt Sep Plant'!$C$39-X33)&gt;0,(X17*'Levellized Salt Sep Plant'!$C$39-X33),0)</f>
        <v>3968206.8384326939</v>
      </c>
      <c r="Y23" s="5">
        <f>IF((Y17*'Levellized Salt Sep Plant'!$C$39-Y33)&gt;0,(Y17*'Levellized Salt Sep Plant'!$C$39-Y33),0)</f>
        <v>3968206.8384326939</v>
      </c>
      <c r="Z23" s="5">
        <f>IF((Z17*'Levellized Salt Sep Plant'!$C$39-Z33)&gt;0,(Z17*'Levellized Salt Sep Plant'!$C$39-Z33),0)</f>
        <v>3968206.8384326939</v>
      </c>
      <c r="AA23" s="5">
        <f>IF((AA17*'Levellized Salt Sep Plant'!$C$39-AA33)&gt;0,(AA17*'Levellized Salt Sep Plant'!$C$39-AA33),0)</f>
        <v>3968206.8384326939</v>
      </c>
      <c r="AB23" s="5">
        <f>IF((AB17*'Levellized Salt Sep Plant'!$C$39-AB33)&gt;0,(AB17*'Levellized Salt Sep Plant'!$C$39-AB33),0)</f>
        <v>3968206.8384326939</v>
      </c>
      <c r="AC23" s="5">
        <f>IF((AC17*'Levellized Salt Sep Plant'!$C$39-AC33)&gt;0,(AC17*'Levellized Salt Sep Plant'!$C$39-AC33),0)</f>
        <v>3968206.8384326939</v>
      </c>
      <c r="AD23" s="5">
        <f>IF((AD17*'Levellized Salt Sep Plant'!$C$39-AD33)&gt;0,(AD17*'Levellized Salt Sep Plant'!$C$39-AD33),0)</f>
        <v>3968206.8384326939</v>
      </c>
      <c r="AE23" s="5">
        <f>IF((AE17*'Levellized Salt Sep Plant'!$C$39-AE33)&gt;0,(AE17*'Levellized Salt Sep Plant'!$C$39-AE33),0)</f>
        <v>3968206.8384326939</v>
      </c>
      <c r="AF23" s="5">
        <f>IF((AF17*'Levellized Salt Sep Plant'!$C$39-AF33)&gt;0,(AF17*'Levellized Salt Sep Plant'!$C$39-AF33),0)</f>
        <v>3968206.8384326939</v>
      </c>
      <c r="AG23" s="5">
        <f>IF((AG17*'Levellized Salt Sep Plant'!$C$39-AG33)&gt;0,(AG17*'Levellized Salt Sep Plant'!$C$39-AG33),0)</f>
        <v>3968206.8384326939</v>
      </c>
      <c r="AH23" s="5">
        <f>IF((AH17*'Levellized Salt Sep Plant'!$C$39-AH33)&gt;0,(AH17*'Levellized Salt Sep Plant'!$C$39-AH33),0)</f>
        <v>3968206.8384326939</v>
      </c>
      <c r="AI23" s="5">
        <f>IF((AI17*'Levellized Salt Sep Plant'!$C$39-AI33)&gt;0,(AI17*'Levellized Salt Sep Plant'!$C$39-AI33),0)</f>
        <v>3968206.8384326939</v>
      </c>
      <c r="AJ23" s="5">
        <f>IF((AJ17*'Levellized Salt Sep Plant'!$C$39-AJ33)&gt;0,(AJ17*'Levellized Salt Sep Plant'!$C$39-AJ33),0)</f>
        <v>3968206.8384326939</v>
      </c>
      <c r="AK23" s="5">
        <f>IF((AK17*'Levellized Salt Sep Plant'!$C$39-AK33)&gt;0,(AK17*'Levellized Salt Sep Plant'!$C$39-AK33),0)</f>
        <v>3968206.8384326939</v>
      </c>
      <c r="AL23" s="5">
        <f>IF((AL17*'Levellized Salt Sep Plant'!$C$39-AL33)&gt;0,(AL17*'Levellized Salt Sep Plant'!$C$39-AL33),0)</f>
        <v>3968206.8384326939</v>
      </c>
      <c r="AM23" s="5">
        <f>IF((AM17*'Levellized Salt Sep Plant'!$C$39-AM33)&gt;0,(AM17*'Levellized Salt Sep Plant'!$C$39-AM33),0)</f>
        <v>3968206.8384326939</v>
      </c>
      <c r="AN23" s="5">
        <f>IF((AN17*'Levellized Salt Sep Plant'!$C$39-AN33)&gt;0,(AN17*'Levellized Salt Sep Plant'!$C$39-AN33),0)</f>
        <v>3968206.8384326939</v>
      </c>
      <c r="AO23" s="5">
        <f>IF((AO17*'Levellized Salt Sep Plant'!$C$39-AO33)&gt;0,(AO17*'Levellized Salt Sep Plant'!$C$39-AO33),0)</f>
        <v>3968206.8384326939</v>
      </c>
      <c r="AP23" s="5">
        <f>IF((AP17*'Levellized Salt Sep Plant'!$C$39-AP33)&gt;0,(AP17*'Levellized Salt Sep Plant'!$C$39-AP33),0)</f>
        <v>3968206.8384326939</v>
      </c>
      <c r="AQ23" s="5">
        <f>IF((AQ17*'Levellized Salt Sep Plant'!$C$39-AQ33)&gt;0,(AQ17*'Levellized Salt Sep Plant'!$C$39-AQ33),0)</f>
        <v>3968206.8384326939</v>
      </c>
      <c r="AR23" s="5">
        <f>IF((AR17*'Levellized Salt Sep Plant'!$C$39-AR33)&gt;0,(AR17*'Levellized Salt Sep Plant'!$C$39-AR33),0)</f>
        <v>3968206.8384326939</v>
      </c>
      <c r="AS23" s="5">
        <f>IF((AS17*'Levellized Salt Sep Plant'!$C$39-AS33)&gt;0,(AS17*'Levellized Salt Sep Plant'!$C$39-AS33),0)</f>
        <v>3968206.8384326939</v>
      </c>
      <c r="AT23" s="5">
        <f>IF((AT17*'Levellized Salt Sep Plant'!$C$39-AT33)&gt;0,(AT17*'Levellized Salt Sep Plant'!$C$39-AT33),0)</f>
        <v>3968206.8384326939</v>
      </c>
      <c r="AU23" s="5">
        <f>IF((AU17*'Levellized Salt Sep Plant'!$C$39-AU33)&gt;0,(AU17*'Levellized Salt Sep Plant'!$C$39-AU33),0)</f>
        <v>3968206.8384326939</v>
      </c>
      <c r="AV23" s="5">
        <f>IF((AV17*'Levellized Salt Sep Plant'!$C$39-AV33)&gt;0,(AV17*'Levellized Salt Sep Plant'!$C$39-AV33),0)</f>
        <v>3968206.8384326939</v>
      </c>
      <c r="AW23" s="5">
        <f>IF((AW17*'Levellized Salt Sep Plant'!$C$39-AW33)&gt;0,(AW17*'Levellized Salt Sep Plant'!$C$39-AW33),0)</f>
        <v>3968206.8384326939</v>
      </c>
      <c r="AX23" s="5">
        <f>IF((AX17*'Levellized Salt Sep Plant'!$C$39-AX33)&gt;0,(AX17*'Levellized Salt Sep Plant'!$C$39-AX33),0)</f>
        <v>3968206.8384326939</v>
      </c>
      <c r="AY23" s="5">
        <f>IF((AY17*'Levellized Salt Sep Plant'!$C$39-AY33)&gt;0,(AY17*'Levellized Salt Sep Plant'!$C$39-AY33),0)</f>
        <v>3968206.8384326939</v>
      </c>
      <c r="AZ23" s="5">
        <f>IF((AZ17*'Levellized Salt Sep Plant'!$C$39-AZ33)&gt;0,(AZ17*'Levellized Salt Sep Plant'!$C$39-AZ33),0)</f>
        <v>3968206.8384326939</v>
      </c>
      <c r="BA23" s="5">
        <f>IF((BA17*'Levellized Salt Sep Plant'!$C$39-BA33)&gt;0,(BA17*'Levellized Salt Sep Plant'!$C$39-BA33),0)</f>
        <v>3968206.8384326939</v>
      </c>
      <c r="BB23" s="5">
        <f>IF((BB17*'Levellized Salt Sep Plant'!$C$39-BB33)&gt;0,(BB17*'Levellized Salt Sep Plant'!$C$39-BB33),0)</f>
        <v>3968206.8384326939</v>
      </c>
      <c r="BC23" s="5">
        <f>IF((BC17*'Levellized Salt Sep Plant'!$C$39-BC33)&gt;0,(BC17*'Levellized Salt Sep Plant'!$C$39-BC33),0)</f>
        <v>3968206.8384326939</v>
      </c>
      <c r="BD23" s="5">
        <f>IF((BD17*'Levellized Salt Sep Plant'!$C$39-BD33)&gt;0,(BD17*'Levellized Salt Sep Plant'!$C$39-BD33),0)</f>
        <v>3968206.8384326939</v>
      </c>
      <c r="BE23" s="5">
        <f>IF((BE17*'Levellized Salt Sep Plant'!$C$39-BE33)&gt;0,(BE17*'Levellized Salt Sep Plant'!$C$39-BE33),0)</f>
        <v>3968206.8384326939</v>
      </c>
      <c r="BF23" s="5">
        <f>IF((BF17*'Levellized Salt Sep Plant'!$C$39-BF33)&gt;0,(BF17*'Levellized Salt Sep Plant'!$C$39-BF33),0)</f>
        <v>3968206.8384326939</v>
      </c>
      <c r="BG23" s="5">
        <f>IF((BG17*'Levellized Salt Sep Plant'!$C$39-BG33)&gt;0,(BG17*'Levellized Salt Sep Plant'!$C$39-BG33),0)</f>
        <v>3968206.8384326939</v>
      </c>
      <c r="BH23" s="5">
        <f>IF((BH17*'Levellized Salt Sep Plant'!$C$39-BH33)&gt;0,(BH17*'Levellized Salt Sep Plant'!$C$39-BH33),0)</f>
        <v>3968206.8384326939</v>
      </c>
      <c r="BI23" s="5"/>
    </row>
    <row r="24" spans="1:61" s="82" customFormat="1" x14ac:dyDescent="0.2">
      <c r="A24" s="82" t="s">
        <v>10</v>
      </c>
      <c r="B24" s="156"/>
      <c r="C24" s="83">
        <f>IF(C16&gt;0,(C26) * 'Salt Evaporation Pond Costs'!$B$46,0)</f>
        <v>0</v>
      </c>
      <c r="D24" s="83">
        <f>IF(D16&gt;0,(D26) * 'Salt Evaporation Pond Costs'!$B$46,0)</f>
        <v>0</v>
      </c>
      <c r="E24" s="83">
        <f>IF(E16&gt;0,(E26) * 'Salt Evaporation Pond Costs'!$B$46,0)</f>
        <v>0</v>
      </c>
      <c r="F24" s="83">
        <f>IF(F16&gt;0,(F26) * 'Salt Evaporation Pond Costs'!$B$46,0)</f>
        <v>0</v>
      </c>
      <c r="G24" s="83">
        <f>IF(G16&gt;0,(G26) * 'Salt Evaporation Pond Costs'!$B$46,0)</f>
        <v>2041057.34764397</v>
      </c>
      <c r="H24" s="83">
        <f>IF(H16&gt;0,(H26) * 'Salt Evaporation Pond Costs'!$B$46,0)</f>
        <v>3538251.6818333496</v>
      </c>
      <c r="I24" s="83">
        <f>IF(I16&gt;0,(I26) * 'Salt Evaporation Pond Costs'!$B$46,0)</f>
        <v>5035446.0160227306</v>
      </c>
      <c r="J24" s="83">
        <f>IF(J16&gt;0,(J26) * 'Salt Evaporation Pond Costs'!$B$46,0)</f>
        <v>6532640.3502121093</v>
      </c>
      <c r="K24" s="83">
        <f>IF(K16&gt;0,(K26) * 'Salt Evaporation Pond Costs'!$B$46,0)</f>
        <v>8029834.6844014907</v>
      </c>
      <c r="L24" s="83">
        <f>IF(L16&gt;0,(L26) * 'Salt Evaporation Pond Costs'!$B$46,0)</f>
        <v>10070892.032045461</v>
      </c>
      <c r="M24" s="83">
        <f>IF(M16&gt;0,(M26) * 'Salt Evaporation Pond Costs'!$B$46,0)</f>
        <v>12111949.379689431</v>
      </c>
      <c r="N24" s="83">
        <f>IF(N16&gt;0,(N26) * 'Salt Evaporation Pond Costs'!$B$46,0)</f>
        <v>18503910.834970124</v>
      </c>
      <c r="O24" s="83">
        <f>IF(O16&gt;0,(O26) * 'Salt Evaporation Pond Costs'!$B$46,0)</f>
        <v>0</v>
      </c>
      <c r="P24" s="83">
        <f>IF(P16&gt;0,(P26) * 'Salt Evaporation Pond Costs'!$B$46,0)</f>
        <v>0</v>
      </c>
      <c r="Q24" s="83">
        <f>IF(Q16&gt;0,(Q26) * 'Salt Evaporation Pond Costs'!$B$46,0)</f>
        <v>0</v>
      </c>
      <c r="R24" s="83">
        <f>IF(R16&gt;0,(R26) * 'Salt Evaporation Pond Costs'!$B$46,0)</f>
        <v>0</v>
      </c>
      <c r="S24" s="83">
        <f>IF(S16&gt;0,(S26) * 'Salt Evaporation Pond Costs'!$B$46,0)</f>
        <v>0</v>
      </c>
      <c r="T24" s="83">
        <f>IF(T16&gt;0,(T26) * 'Salt Evaporation Pond Costs'!$B$46,0)</f>
        <v>0</v>
      </c>
      <c r="U24" s="83">
        <f>IF(U16&gt;0,(U26) * 'Salt Evaporation Pond Costs'!$B$46,0)</f>
        <v>0</v>
      </c>
      <c r="V24" s="83">
        <f>IF(V16&gt;0,(V26) * 'Salt Evaporation Pond Costs'!$B$46,0)</f>
        <v>0</v>
      </c>
      <c r="W24" s="83">
        <f>IF(W16&gt;0,(W26) * 'Salt Evaporation Pond Costs'!$B$46,0)</f>
        <v>0</v>
      </c>
      <c r="X24" s="83">
        <f>IF(X16&gt;0,(X26) * 'Salt Evaporation Pond Costs'!$B$46,0)</f>
        <v>0</v>
      </c>
      <c r="Y24" s="83">
        <f>IF(Y16&gt;0,(Y26) * 'Salt Evaporation Pond Costs'!$B$46,0)</f>
        <v>0</v>
      </c>
      <c r="Z24" s="83">
        <f>IF(Z16&gt;0,(Z26) * 'Salt Evaporation Pond Costs'!$B$46,0)</f>
        <v>0</v>
      </c>
      <c r="AA24" s="83">
        <f>IF(AA16&gt;0,(AA26) * 'Salt Evaporation Pond Costs'!$B$46,0)</f>
        <v>0</v>
      </c>
      <c r="AB24" s="83">
        <f>IF(AB16&gt;0,(AB26) * 'Salt Evaporation Pond Costs'!$B$46,0)</f>
        <v>0</v>
      </c>
      <c r="AC24" s="83">
        <f>IF(AC16&gt;0,(AC26) * 'Salt Evaporation Pond Costs'!$B$46,0)</f>
        <v>0</v>
      </c>
      <c r="AD24" s="83">
        <f>IF(AD16&gt;0,(AD26) * 'Salt Evaporation Pond Costs'!$B$46,0)</f>
        <v>0</v>
      </c>
      <c r="AE24" s="83">
        <f>IF(AE16&gt;0,(AE26) * 'Salt Evaporation Pond Costs'!$B$46,0)</f>
        <v>0</v>
      </c>
      <c r="AF24" s="83">
        <f>IF(AF16&gt;0,(AF26) * 'Salt Evaporation Pond Costs'!$B$46,0)</f>
        <v>0</v>
      </c>
      <c r="AG24" s="83">
        <f>IF(AG16&gt;0,(AG26) * 'Salt Evaporation Pond Costs'!$B$46,0)</f>
        <v>0</v>
      </c>
      <c r="AH24" s="83">
        <f>IF(AH16&gt;0,(AH26) * 'Salt Evaporation Pond Costs'!$B$46,0)</f>
        <v>0</v>
      </c>
      <c r="AI24" s="83">
        <f>IF(AI16&gt;0,(AI26) * 'Salt Evaporation Pond Costs'!$B$46,0)</f>
        <v>0</v>
      </c>
      <c r="AJ24" s="83">
        <f>IF(AJ16&gt;0,(AJ26) * 'Salt Evaporation Pond Costs'!$B$46,0)</f>
        <v>0</v>
      </c>
      <c r="AK24" s="83">
        <f>IF(AK16&gt;0,(AK26) * 'Salt Evaporation Pond Costs'!$B$46,0)</f>
        <v>0</v>
      </c>
      <c r="AL24" s="83">
        <f>IF(AL16&gt;0,(AL26) * 'Salt Evaporation Pond Costs'!$B$46,0)</f>
        <v>0</v>
      </c>
      <c r="AM24" s="83">
        <f>IF(AM16&gt;0,(AM26) * 'Salt Evaporation Pond Costs'!$B$46,0)</f>
        <v>0</v>
      </c>
      <c r="AN24" s="83">
        <f>IF(AN16&gt;0,(AN26) * 'Salt Evaporation Pond Costs'!$B$46,0)</f>
        <v>0</v>
      </c>
      <c r="AO24" s="83">
        <f>IF(AO16&gt;0,(AO26) * 'Salt Evaporation Pond Costs'!$B$46,0)</f>
        <v>0</v>
      </c>
      <c r="AP24" s="83">
        <f>IF(AP16&gt;0,(AP26) * 'Salt Evaporation Pond Costs'!$B$46,0)</f>
        <v>0</v>
      </c>
      <c r="AQ24" s="83">
        <f>IF(AQ16&gt;0,(AQ26) * 'Salt Evaporation Pond Costs'!$B$46,0)</f>
        <v>0</v>
      </c>
      <c r="AR24" s="83">
        <f>IF(AR16&gt;0,(AR26) * 'Salt Evaporation Pond Costs'!$B$46,0)</f>
        <v>0</v>
      </c>
      <c r="AS24" s="83">
        <f>IF(AS16&gt;0,(AS26) * 'Salt Evaporation Pond Costs'!$B$46,0)</f>
        <v>0</v>
      </c>
      <c r="AT24" s="83">
        <f>IF(AT16&gt;0,(AT26) * 'Salt Evaporation Pond Costs'!$B$46,0)</f>
        <v>0</v>
      </c>
      <c r="AU24" s="83">
        <f>IF(AU16&gt;0,(AU26) * 'Salt Evaporation Pond Costs'!$B$46,0)</f>
        <v>0</v>
      </c>
      <c r="AV24" s="83">
        <f>IF(AV16&gt;0,(AV26) * 'Salt Evaporation Pond Costs'!$B$46,0)</f>
        <v>0</v>
      </c>
      <c r="AW24" s="83">
        <f>IF(AW16&gt;0,(AW26) * 'Salt Evaporation Pond Costs'!$B$46,0)</f>
        <v>0</v>
      </c>
      <c r="AX24" s="83">
        <f>IF(AX16&gt;0,(AX26) * 'Salt Evaporation Pond Costs'!$B$46,0)</f>
        <v>0</v>
      </c>
      <c r="AY24" s="83">
        <f>IF(AY16&gt;0,(AY26) * 'Salt Evaporation Pond Costs'!$B$46,0)</f>
        <v>0</v>
      </c>
      <c r="AZ24" s="83">
        <f>IF(AZ16&gt;0,(AZ26) * 'Salt Evaporation Pond Costs'!$B$46,0)</f>
        <v>0</v>
      </c>
      <c r="BA24" s="83">
        <f>IF(BA16&gt;0,(BA26) * 'Salt Evaporation Pond Costs'!$B$46,0)</f>
        <v>0</v>
      </c>
      <c r="BB24" s="83">
        <f>IF(BB16&gt;0,(BB26) * 'Salt Evaporation Pond Costs'!$B$46,0)</f>
        <v>0</v>
      </c>
      <c r="BC24" s="83">
        <f>IF(BC16&gt;0,(BC26) * 'Salt Evaporation Pond Costs'!$B$46,0)</f>
        <v>0</v>
      </c>
      <c r="BD24" s="83">
        <f>IF(BD16&gt;0,(BD26) * 'Salt Evaporation Pond Costs'!$B$46,0)</f>
        <v>0</v>
      </c>
      <c r="BE24" s="83">
        <f>IF(BE16&gt;0,(BE26) * 'Salt Evaporation Pond Costs'!$B$46,0)</f>
        <v>0</v>
      </c>
      <c r="BF24" s="83">
        <f>IF(BF16&gt;0,(BF26) * 'Salt Evaporation Pond Costs'!$B$46,0)</f>
        <v>0</v>
      </c>
      <c r="BG24" s="83">
        <f>IF(BG16&gt;0,(BG26) * 'Salt Evaporation Pond Costs'!$B$46,0)</f>
        <v>0</v>
      </c>
      <c r="BH24" s="83">
        <f>IF(BH16&gt;0,(BH26) * 'Salt Evaporation Pond Costs'!$B$46,0)</f>
        <v>0</v>
      </c>
      <c r="BI24" s="83"/>
    </row>
    <row r="25" spans="1:61" s="82" customFormat="1" x14ac:dyDescent="0.2">
      <c r="A25" s="82" t="s">
        <v>11</v>
      </c>
      <c r="B25" s="156"/>
      <c r="C25" s="83">
        <f>C26 * 'Salt Evaporation Pond Costs'!$B$53</f>
        <v>0</v>
      </c>
      <c r="D25" s="83">
        <f>D26 * 'Salt Evaporation Pond Costs'!$B$53</f>
        <v>0</v>
      </c>
      <c r="E25" s="83">
        <f>E26 * 'Salt Evaporation Pond Costs'!$B$53</f>
        <v>0</v>
      </c>
      <c r="F25" s="83">
        <f>F26 * 'Salt Evaporation Pond Costs'!$B$53</f>
        <v>0</v>
      </c>
      <c r="G25" s="83">
        <f>G26 * 'Salt Evaporation Pond Costs'!$B$53</f>
        <v>126417.37008208477</v>
      </c>
      <c r="H25" s="83">
        <f>H26 * 'Salt Evaporation Pond Costs'!$B$53</f>
        <v>219149.3898112211</v>
      </c>
      <c r="I25" s="83">
        <f>I26 * 'Salt Evaporation Pond Costs'!$B$53</f>
        <v>311881.40954035753</v>
      </c>
      <c r="J25" s="83">
        <f>J26 * 'Salt Evaporation Pond Costs'!$B$53</f>
        <v>404613.42926949385</v>
      </c>
      <c r="K25" s="83">
        <f>K26 * 'Salt Evaporation Pond Costs'!$B$53</f>
        <v>497345.44899863028</v>
      </c>
      <c r="L25" s="83">
        <f>L26 * 'Salt Evaporation Pond Costs'!$B$53</f>
        <v>623762.81908071507</v>
      </c>
      <c r="M25" s="83">
        <f>M26 * 'Salt Evaporation Pond Costs'!$B$53</f>
        <v>750180.18916279974</v>
      </c>
      <c r="N25" s="83">
        <f>N26 * 'Salt Evaporation Pond Costs'!$B$53</f>
        <v>1146080.362068472</v>
      </c>
      <c r="O25" s="83">
        <f>O26 * 'Salt Evaporation Pond Costs'!$B$53</f>
        <v>1541980.5349741443</v>
      </c>
      <c r="P25" s="83">
        <f>P26 * 'Salt Evaporation Pond Costs'!$B$53</f>
        <v>1541980.5349741443</v>
      </c>
      <c r="Q25" s="83">
        <f>Q26 * 'Salt Evaporation Pond Costs'!$B$53</f>
        <v>1541980.5349741443</v>
      </c>
      <c r="R25" s="83">
        <f>R26 * 'Salt Evaporation Pond Costs'!$B$53</f>
        <v>1541980.5349741443</v>
      </c>
      <c r="S25" s="83">
        <f>S26 * 'Salt Evaporation Pond Costs'!$B$53</f>
        <v>1541980.5349741443</v>
      </c>
      <c r="T25" s="83">
        <f>T26 * 'Salt Evaporation Pond Costs'!$B$53</f>
        <v>1541980.5349741443</v>
      </c>
      <c r="U25" s="83">
        <f>U26 * 'Salt Evaporation Pond Costs'!$B$53</f>
        <v>1541980.5349741443</v>
      </c>
      <c r="V25" s="83">
        <f>V26 * 'Salt Evaporation Pond Costs'!$B$53</f>
        <v>1541980.5349741443</v>
      </c>
      <c r="W25" s="83">
        <f>W26 * 'Salt Evaporation Pond Costs'!$B$53</f>
        <v>1541980.5349741443</v>
      </c>
      <c r="X25" s="83">
        <f>X26 * 'Salt Evaporation Pond Costs'!$B$53</f>
        <v>1541980.5349741443</v>
      </c>
      <c r="Y25" s="83">
        <f>Y26 * 'Salt Evaporation Pond Costs'!$B$53</f>
        <v>1541980.5349741443</v>
      </c>
      <c r="Z25" s="83">
        <f>Z26 * 'Salt Evaporation Pond Costs'!$B$53</f>
        <v>1541980.5349741443</v>
      </c>
      <c r="AA25" s="83">
        <f>AA26 * 'Salt Evaporation Pond Costs'!$B$53</f>
        <v>1541980.5349741443</v>
      </c>
      <c r="AB25" s="83">
        <f>AB26 * 'Salt Evaporation Pond Costs'!$B$53</f>
        <v>1541980.5349741443</v>
      </c>
      <c r="AC25" s="83">
        <f>AC26 * 'Salt Evaporation Pond Costs'!$B$53</f>
        <v>1541980.5349741443</v>
      </c>
      <c r="AD25" s="83">
        <f>AD26 * 'Salt Evaporation Pond Costs'!$B$53</f>
        <v>1541980.5349741443</v>
      </c>
      <c r="AE25" s="83">
        <f>AE26 * 'Salt Evaporation Pond Costs'!$B$53</f>
        <v>1541980.5349741443</v>
      </c>
      <c r="AF25" s="83">
        <f>AF26 * 'Salt Evaporation Pond Costs'!$B$53</f>
        <v>1541980.5349741443</v>
      </c>
      <c r="AG25" s="83">
        <f>AG26 * 'Salt Evaporation Pond Costs'!$B$53</f>
        <v>1541980.5349741443</v>
      </c>
      <c r="AH25" s="83">
        <f>AH26 * 'Salt Evaporation Pond Costs'!$B$53</f>
        <v>1541980.5349741443</v>
      </c>
      <c r="AI25" s="83">
        <f>AI26 * 'Salt Evaporation Pond Costs'!$B$53</f>
        <v>1541980.5349741443</v>
      </c>
      <c r="AJ25" s="83">
        <f>AJ26 * 'Salt Evaporation Pond Costs'!$B$53</f>
        <v>1541980.5349741443</v>
      </c>
      <c r="AK25" s="83">
        <f>AK26 * 'Salt Evaporation Pond Costs'!$B$53</f>
        <v>1541980.5349741443</v>
      </c>
      <c r="AL25" s="83">
        <f>AL26 * 'Salt Evaporation Pond Costs'!$B$53</f>
        <v>1541980.5349741443</v>
      </c>
      <c r="AM25" s="83">
        <f>AM26 * 'Salt Evaporation Pond Costs'!$B$53</f>
        <v>1541980.5349741443</v>
      </c>
      <c r="AN25" s="83">
        <f>AN26 * 'Salt Evaporation Pond Costs'!$B$53</f>
        <v>1541980.5349741443</v>
      </c>
      <c r="AO25" s="83">
        <f>AO26 * 'Salt Evaporation Pond Costs'!$B$53</f>
        <v>1541980.5349741443</v>
      </c>
      <c r="AP25" s="83">
        <f>AP26 * 'Salt Evaporation Pond Costs'!$B$53</f>
        <v>1541980.5349741443</v>
      </c>
      <c r="AQ25" s="83">
        <f>AQ26 * 'Salt Evaporation Pond Costs'!$B$53</f>
        <v>1541980.5349741443</v>
      </c>
      <c r="AR25" s="83">
        <f>AR26 * 'Salt Evaporation Pond Costs'!$B$53</f>
        <v>1541980.5349741443</v>
      </c>
      <c r="AS25" s="83">
        <f>AS26 * 'Salt Evaporation Pond Costs'!$B$53</f>
        <v>1541980.5349741443</v>
      </c>
      <c r="AT25" s="83">
        <f>AT26 * 'Salt Evaporation Pond Costs'!$B$53</f>
        <v>1541980.5349741443</v>
      </c>
      <c r="AU25" s="83">
        <f>AU26 * 'Salt Evaporation Pond Costs'!$B$53</f>
        <v>1541980.5349741443</v>
      </c>
      <c r="AV25" s="83">
        <f>AV26 * 'Salt Evaporation Pond Costs'!$B$53</f>
        <v>1541980.5349741443</v>
      </c>
      <c r="AW25" s="83">
        <f>AW26 * 'Salt Evaporation Pond Costs'!$B$53</f>
        <v>1541980.5349741443</v>
      </c>
      <c r="AX25" s="83">
        <f>AX26 * 'Salt Evaporation Pond Costs'!$B$53</f>
        <v>1541980.5349741443</v>
      </c>
      <c r="AY25" s="83">
        <f>AY26 * 'Salt Evaporation Pond Costs'!$B$53</f>
        <v>1541980.5349741443</v>
      </c>
      <c r="AZ25" s="83">
        <f>AZ26 * 'Salt Evaporation Pond Costs'!$B$53</f>
        <v>1541980.5349741443</v>
      </c>
      <c r="BA25" s="83">
        <f>BA26 * 'Salt Evaporation Pond Costs'!$B$53</f>
        <v>1541980.5349741443</v>
      </c>
      <c r="BB25" s="83">
        <f>BB26 * 'Salt Evaporation Pond Costs'!$B$53</f>
        <v>1541980.5349741443</v>
      </c>
      <c r="BC25" s="83">
        <f>BC26 * 'Salt Evaporation Pond Costs'!$B$53</f>
        <v>1541980.5349741443</v>
      </c>
      <c r="BD25" s="83">
        <f>BD26 * 'Salt Evaporation Pond Costs'!$B$53</f>
        <v>1541980.5349741443</v>
      </c>
      <c r="BE25" s="83">
        <f>BE26 * 'Salt Evaporation Pond Costs'!$B$53</f>
        <v>1541980.5349741443</v>
      </c>
      <c r="BF25" s="83">
        <f>BF26 * 'Salt Evaporation Pond Costs'!$B$53</f>
        <v>1541980.5349741443</v>
      </c>
      <c r="BG25" s="83">
        <f>BG26 * 'Salt Evaporation Pond Costs'!$B$53</f>
        <v>1541980.5349741443</v>
      </c>
      <c r="BH25" s="83">
        <f>BH26 * 'Salt Evaporation Pond Costs'!$B$53</f>
        <v>1541980.5349741443</v>
      </c>
      <c r="BI25" s="83"/>
    </row>
    <row r="26" spans="1:61" s="129" customFormat="1" x14ac:dyDescent="0.2">
      <c r="A26" s="129" t="s">
        <v>800</v>
      </c>
      <c r="B26" s="157"/>
      <c r="C26" s="130">
        <f xml:space="preserve"> C23 / 'Salt Evaporation Pond Costs'!$B$62</f>
        <v>0</v>
      </c>
      <c r="D26" s="130">
        <f xml:space="preserve"> D23 / 'Salt Evaporation Pond Costs'!$B$62</f>
        <v>0</v>
      </c>
      <c r="E26" s="130">
        <f xml:space="preserve"> E23 / 'Salt Evaporation Pond Costs'!$B$62</f>
        <v>0</v>
      </c>
      <c r="F26" s="130">
        <f xml:space="preserve"> F23 / 'Salt Evaporation Pond Costs'!$B$62</f>
        <v>0</v>
      </c>
      <c r="G26" s="130">
        <f xml:space="preserve"> G23 / 'Salt Evaporation Pond Costs'!$B$62</f>
        <v>73.928286597710397</v>
      </c>
      <c r="H26" s="130">
        <f xml:space="preserve"> H23 / 'Salt Evaporation Pond Costs'!$B$62</f>
        <v>128.15753790129889</v>
      </c>
      <c r="I26" s="130">
        <f xml:space="preserve"> I23 / 'Salt Evaporation Pond Costs'!$B$62</f>
        <v>182.38678920488744</v>
      </c>
      <c r="J26" s="130">
        <f xml:space="preserve"> J23 / 'Salt Evaporation Pond Costs'!$B$62</f>
        <v>236.61604050847592</v>
      </c>
      <c r="K26" s="130">
        <f xml:space="preserve"> K23 / 'Salt Evaporation Pond Costs'!$B$62</f>
        <v>290.84529181206449</v>
      </c>
      <c r="L26" s="130">
        <f xml:space="preserve"> L23 / 'Salt Evaporation Pond Costs'!$B$62</f>
        <v>364.77357840977487</v>
      </c>
      <c r="M26" s="130">
        <f xml:space="preserve"> M23 / 'Salt Evaporation Pond Costs'!$B$62</f>
        <v>438.70186500748525</v>
      </c>
      <c r="N26" s="130">
        <f xml:space="preserve"> N23 / 'Salt Evaporation Pond Costs'!$B$62</f>
        <v>670.22243395817077</v>
      </c>
      <c r="O26" s="130">
        <f xml:space="preserve"> O23 / 'Salt Evaporation Pond Costs'!$B$62</f>
        <v>901.74300290885628</v>
      </c>
      <c r="P26" s="130">
        <f xml:space="preserve"> P23 / 'Salt Evaporation Pond Costs'!$B$62</f>
        <v>901.74300290885628</v>
      </c>
      <c r="Q26" s="130">
        <f xml:space="preserve"> Q23 / 'Salt Evaporation Pond Costs'!$B$62</f>
        <v>901.74300290885628</v>
      </c>
      <c r="R26" s="130">
        <f xml:space="preserve"> R23 / 'Salt Evaporation Pond Costs'!$B$62</f>
        <v>901.74300290885628</v>
      </c>
      <c r="S26" s="130">
        <f xml:space="preserve"> S23 / 'Salt Evaporation Pond Costs'!$B$62</f>
        <v>901.74300290885628</v>
      </c>
      <c r="T26" s="130">
        <f xml:space="preserve"> T23 / 'Salt Evaporation Pond Costs'!$B$62</f>
        <v>901.74300290885628</v>
      </c>
      <c r="U26" s="130">
        <f xml:space="preserve"> U23 / 'Salt Evaporation Pond Costs'!$B$62</f>
        <v>901.74300290885628</v>
      </c>
      <c r="V26" s="130">
        <f xml:space="preserve"> V23 / 'Salt Evaporation Pond Costs'!$B$62</f>
        <v>901.74300290885628</v>
      </c>
      <c r="W26" s="130">
        <f xml:space="preserve"> W23 / 'Salt Evaporation Pond Costs'!$B$62</f>
        <v>901.74300290885628</v>
      </c>
      <c r="X26" s="130">
        <f xml:space="preserve"> X23 / 'Salt Evaporation Pond Costs'!$B$62</f>
        <v>901.74300290885628</v>
      </c>
      <c r="Y26" s="130">
        <f xml:space="preserve"> Y23 / 'Salt Evaporation Pond Costs'!$B$62</f>
        <v>901.74300290885628</v>
      </c>
      <c r="Z26" s="130">
        <f xml:space="preserve"> Z23 / 'Salt Evaporation Pond Costs'!$B$62</f>
        <v>901.74300290885628</v>
      </c>
      <c r="AA26" s="130">
        <f xml:space="preserve"> AA23 / 'Salt Evaporation Pond Costs'!$B$62</f>
        <v>901.74300290885628</v>
      </c>
      <c r="AB26" s="130">
        <f xml:space="preserve"> AB23 / 'Salt Evaporation Pond Costs'!$B$62</f>
        <v>901.74300290885628</v>
      </c>
      <c r="AC26" s="130">
        <f xml:space="preserve"> AC23 / 'Salt Evaporation Pond Costs'!$B$62</f>
        <v>901.74300290885628</v>
      </c>
      <c r="AD26" s="130">
        <f xml:space="preserve"> AD23 / 'Salt Evaporation Pond Costs'!$B$62</f>
        <v>901.74300290885628</v>
      </c>
      <c r="AE26" s="130">
        <f xml:space="preserve"> AE23 / 'Salt Evaporation Pond Costs'!$B$62</f>
        <v>901.74300290885628</v>
      </c>
      <c r="AF26" s="130">
        <f xml:space="preserve"> AF23 / 'Salt Evaporation Pond Costs'!$B$62</f>
        <v>901.74300290885628</v>
      </c>
      <c r="AG26" s="130">
        <f xml:space="preserve"> AG23 / 'Salt Evaporation Pond Costs'!$B$62</f>
        <v>901.74300290885628</v>
      </c>
      <c r="AH26" s="130">
        <f xml:space="preserve"> AH23 / 'Salt Evaporation Pond Costs'!$B$62</f>
        <v>901.74300290885628</v>
      </c>
      <c r="AI26" s="130">
        <f xml:space="preserve"> AI23 / 'Salt Evaporation Pond Costs'!$B$62</f>
        <v>901.74300290885628</v>
      </c>
      <c r="AJ26" s="130">
        <f xml:space="preserve"> AJ23 / 'Salt Evaporation Pond Costs'!$B$62</f>
        <v>901.74300290885628</v>
      </c>
      <c r="AK26" s="130">
        <f xml:space="preserve"> AK23 / 'Salt Evaporation Pond Costs'!$B$62</f>
        <v>901.74300290885628</v>
      </c>
      <c r="AL26" s="130">
        <f xml:space="preserve"> AL23 / 'Salt Evaporation Pond Costs'!$B$62</f>
        <v>901.74300290885628</v>
      </c>
      <c r="AM26" s="130">
        <f xml:space="preserve"> AM23 / 'Salt Evaporation Pond Costs'!$B$62</f>
        <v>901.74300290885628</v>
      </c>
      <c r="AN26" s="130">
        <f xml:space="preserve"> AN23 / 'Salt Evaporation Pond Costs'!$B$62</f>
        <v>901.74300290885628</v>
      </c>
      <c r="AO26" s="130">
        <f xml:space="preserve"> AO23 / 'Salt Evaporation Pond Costs'!$B$62</f>
        <v>901.74300290885628</v>
      </c>
      <c r="AP26" s="130">
        <f xml:space="preserve"> AP23 / 'Salt Evaporation Pond Costs'!$B$62</f>
        <v>901.74300290885628</v>
      </c>
      <c r="AQ26" s="130">
        <f xml:space="preserve"> AQ23 / 'Salt Evaporation Pond Costs'!$B$62</f>
        <v>901.74300290885628</v>
      </c>
      <c r="AR26" s="130">
        <f xml:space="preserve"> AR23 / 'Salt Evaporation Pond Costs'!$B$62</f>
        <v>901.74300290885628</v>
      </c>
      <c r="AS26" s="130">
        <f xml:space="preserve"> AS23 / 'Salt Evaporation Pond Costs'!$B$62</f>
        <v>901.74300290885628</v>
      </c>
      <c r="AT26" s="130">
        <f xml:space="preserve"> AT23 / 'Salt Evaporation Pond Costs'!$B$62</f>
        <v>901.74300290885628</v>
      </c>
      <c r="AU26" s="130">
        <f xml:space="preserve"> AU23 / 'Salt Evaporation Pond Costs'!$B$62</f>
        <v>901.74300290885628</v>
      </c>
      <c r="AV26" s="130">
        <f xml:space="preserve"> AV23 / 'Salt Evaporation Pond Costs'!$B$62</f>
        <v>901.74300290885628</v>
      </c>
      <c r="AW26" s="130">
        <f xml:space="preserve"> AW23 / 'Salt Evaporation Pond Costs'!$B$62</f>
        <v>901.74300290885628</v>
      </c>
      <c r="AX26" s="130">
        <f xml:space="preserve"> AX23 / 'Salt Evaporation Pond Costs'!$B$62</f>
        <v>901.74300290885628</v>
      </c>
      <c r="AY26" s="130">
        <f xml:space="preserve"> AY23 / 'Salt Evaporation Pond Costs'!$B$62</f>
        <v>901.74300290885628</v>
      </c>
      <c r="AZ26" s="130">
        <f xml:space="preserve"> AZ23 / 'Salt Evaporation Pond Costs'!$B$62</f>
        <v>901.74300290885628</v>
      </c>
      <c r="BA26" s="130">
        <f xml:space="preserve"> BA23 / 'Salt Evaporation Pond Costs'!$B$62</f>
        <v>901.74300290885628</v>
      </c>
      <c r="BB26" s="130">
        <f xml:space="preserve"> BB23 / 'Salt Evaporation Pond Costs'!$B$62</f>
        <v>901.74300290885628</v>
      </c>
      <c r="BC26" s="130">
        <f xml:space="preserve"> BC23 / 'Salt Evaporation Pond Costs'!$B$62</f>
        <v>901.74300290885628</v>
      </c>
      <c r="BD26" s="130">
        <f xml:space="preserve"> BD23 / 'Salt Evaporation Pond Costs'!$B$62</f>
        <v>901.74300290885628</v>
      </c>
      <c r="BE26" s="130">
        <f xml:space="preserve"> BE23 / 'Salt Evaporation Pond Costs'!$B$62</f>
        <v>901.74300290885628</v>
      </c>
      <c r="BF26" s="130">
        <f xml:space="preserve"> BF23 / 'Salt Evaporation Pond Costs'!$B$62</f>
        <v>901.74300290885628</v>
      </c>
      <c r="BG26" s="130">
        <f xml:space="preserve"> BG23 / 'Salt Evaporation Pond Costs'!$B$62</f>
        <v>901.74300290885628</v>
      </c>
      <c r="BH26" s="130">
        <f xml:space="preserve"> BH23 / 'Salt Evaporation Pond Costs'!$B$62</f>
        <v>901.74300290885628</v>
      </c>
      <c r="BI26" s="131"/>
    </row>
    <row r="27" spans="1:61" x14ac:dyDescent="0.2">
      <c r="A27" t="s">
        <v>835</v>
      </c>
      <c r="B27" s="112">
        <v>2.94</v>
      </c>
      <c r="C27" s="103">
        <v>100</v>
      </c>
      <c r="D27" s="10">
        <f xml:space="preserve"> C27 + $B27</f>
        <v>102.94</v>
      </c>
      <c r="E27" s="10">
        <f t="shared" ref="E27:AO27" si="41" xml:space="preserve"> D27 + $B27</f>
        <v>105.88</v>
      </c>
      <c r="F27" s="10">
        <f t="shared" si="41"/>
        <v>108.82</v>
      </c>
      <c r="G27" s="10">
        <f t="shared" si="41"/>
        <v>111.75999999999999</v>
      </c>
      <c r="H27" s="10">
        <f t="shared" si="41"/>
        <v>114.69999999999999</v>
      </c>
      <c r="I27" s="10">
        <f t="shared" si="41"/>
        <v>117.63999999999999</v>
      </c>
      <c r="J27" s="10">
        <f t="shared" si="41"/>
        <v>120.57999999999998</v>
      </c>
      <c r="K27" s="10">
        <f t="shared" si="41"/>
        <v>123.51999999999998</v>
      </c>
      <c r="L27" s="10">
        <f t="shared" si="41"/>
        <v>126.45999999999998</v>
      </c>
      <c r="M27" s="10">
        <f t="shared" si="41"/>
        <v>129.39999999999998</v>
      </c>
      <c r="N27" s="10">
        <f t="shared" si="41"/>
        <v>132.33999999999997</v>
      </c>
      <c r="O27" s="10">
        <f t="shared" si="41"/>
        <v>135.27999999999997</v>
      </c>
      <c r="P27" s="10">
        <f t="shared" si="41"/>
        <v>138.21999999999997</v>
      </c>
      <c r="Q27" s="10">
        <f t="shared" si="41"/>
        <v>141.15999999999997</v>
      </c>
      <c r="R27" s="10">
        <f t="shared" si="41"/>
        <v>144.09999999999997</v>
      </c>
      <c r="S27" s="10">
        <f t="shared" si="41"/>
        <v>147.03999999999996</v>
      </c>
      <c r="T27" s="10">
        <f t="shared" si="41"/>
        <v>149.97999999999996</v>
      </c>
      <c r="U27" s="10">
        <f t="shared" si="41"/>
        <v>152.91999999999996</v>
      </c>
      <c r="V27" s="10">
        <f t="shared" si="41"/>
        <v>155.85999999999996</v>
      </c>
      <c r="W27" s="10">
        <f t="shared" si="41"/>
        <v>158.79999999999995</v>
      </c>
      <c r="X27" s="10">
        <f t="shared" si="41"/>
        <v>161.73999999999995</v>
      </c>
      <c r="Y27" s="10">
        <f t="shared" si="41"/>
        <v>164.67999999999995</v>
      </c>
      <c r="Z27" s="10">
        <f t="shared" si="41"/>
        <v>167.61999999999995</v>
      </c>
      <c r="AA27" s="10">
        <f t="shared" si="41"/>
        <v>170.55999999999995</v>
      </c>
      <c r="AB27" s="10">
        <f t="shared" si="41"/>
        <v>173.49999999999994</v>
      </c>
      <c r="AC27" s="10">
        <f t="shared" si="41"/>
        <v>176.43999999999994</v>
      </c>
      <c r="AD27" s="10">
        <f t="shared" si="41"/>
        <v>179.37999999999994</v>
      </c>
      <c r="AE27" s="10">
        <f t="shared" si="41"/>
        <v>182.31999999999994</v>
      </c>
      <c r="AF27" s="10">
        <f t="shared" si="41"/>
        <v>185.25999999999993</v>
      </c>
      <c r="AG27" s="10">
        <f t="shared" si="41"/>
        <v>188.19999999999993</v>
      </c>
      <c r="AH27" s="10">
        <f t="shared" si="41"/>
        <v>191.13999999999993</v>
      </c>
      <c r="AI27" s="10">
        <f t="shared" si="41"/>
        <v>194.07999999999993</v>
      </c>
      <c r="AJ27" s="10">
        <f t="shared" si="41"/>
        <v>197.01999999999992</v>
      </c>
      <c r="AK27" s="10">
        <f t="shared" si="41"/>
        <v>199.95999999999992</v>
      </c>
      <c r="AL27" s="10">
        <f t="shared" si="41"/>
        <v>202.89999999999992</v>
      </c>
      <c r="AM27" s="10">
        <f t="shared" si="41"/>
        <v>205.83999999999992</v>
      </c>
      <c r="AN27" s="10">
        <f t="shared" si="41"/>
        <v>208.77999999999992</v>
      </c>
      <c r="AO27" s="10">
        <f t="shared" si="41"/>
        <v>211.71999999999991</v>
      </c>
      <c r="AP27" s="10">
        <f t="shared" ref="AP27" si="42" xml:space="preserve"> AO27 + $B27</f>
        <v>214.65999999999991</v>
      </c>
      <c r="AQ27" s="10">
        <f t="shared" ref="AQ27" si="43" xml:space="preserve"> AP27 + $B27</f>
        <v>217.59999999999991</v>
      </c>
      <c r="AR27" s="10">
        <f t="shared" ref="AR27" si="44" xml:space="preserve"> AQ27 + $B27</f>
        <v>220.53999999999991</v>
      </c>
      <c r="AS27" s="10">
        <f t="shared" ref="AS27" si="45" xml:space="preserve"> AR27 + $B27</f>
        <v>223.4799999999999</v>
      </c>
      <c r="AT27" s="10">
        <f t="shared" ref="AT27" si="46" xml:space="preserve"> AS27 + $B27</f>
        <v>226.4199999999999</v>
      </c>
      <c r="AU27" s="10">
        <f t="shared" ref="AU27" si="47" xml:space="preserve"> AT27 + $B27</f>
        <v>229.3599999999999</v>
      </c>
      <c r="AV27" s="10">
        <f t="shared" ref="AV27" si="48" xml:space="preserve"> AU27 + $B27</f>
        <v>232.2999999999999</v>
      </c>
      <c r="AW27" s="10">
        <f t="shared" ref="AW27" si="49" xml:space="preserve"> AV27 + $B27</f>
        <v>235.2399999999999</v>
      </c>
      <c r="AX27" s="10">
        <f t="shared" ref="AX27" si="50" xml:space="preserve"> AW27 + $B27</f>
        <v>238.17999999999989</v>
      </c>
      <c r="AY27" s="10">
        <f t="shared" ref="AY27" si="51" xml:space="preserve"> AX27 + $B27</f>
        <v>241.11999999999989</v>
      </c>
      <c r="AZ27" s="10">
        <f t="shared" ref="AZ27" si="52" xml:space="preserve"> AY27 + $B27</f>
        <v>244.05999999999989</v>
      </c>
      <c r="BA27" s="10">
        <f t="shared" ref="BA27" si="53" xml:space="preserve"> AZ27 + $B27</f>
        <v>246.99999999999989</v>
      </c>
      <c r="BB27" s="10">
        <f t="shared" ref="BB27" si="54" xml:space="preserve"> BA27 + $B27</f>
        <v>249.93999999999988</v>
      </c>
      <c r="BC27" s="10">
        <f t="shared" ref="BC27" si="55" xml:space="preserve"> BB27 + $B27</f>
        <v>252.87999999999988</v>
      </c>
      <c r="BD27" s="10">
        <f t="shared" ref="BD27" si="56" xml:space="preserve"> BC27 + $B27</f>
        <v>255.81999999999988</v>
      </c>
      <c r="BE27" s="10">
        <f t="shared" ref="BE27" si="57" xml:space="preserve"> BD27 + $B27</f>
        <v>258.75999999999988</v>
      </c>
      <c r="BF27" s="10">
        <f t="shared" ref="BF27" si="58" xml:space="preserve"> BE27 + $B27</f>
        <v>261.69999999999987</v>
      </c>
      <c r="BG27" s="10">
        <f t="shared" ref="BG27:BH27" si="59" xml:space="preserve"> BF27 + $B27</f>
        <v>264.63999999999987</v>
      </c>
      <c r="BH27" s="10">
        <f t="shared" si="59"/>
        <v>267.57999999999987</v>
      </c>
      <c r="BI27" s="10"/>
    </row>
    <row r="28" spans="1:61" s="84" customFormat="1" x14ac:dyDescent="0.2">
      <c r="A28" s="84" t="s">
        <v>12</v>
      </c>
      <c r="B28" s="158"/>
      <c r="C28" s="85">
        <f t="shared" ref="C28:AM28" si="60">C23*C27</f>
        <v>0</v>
      </c>
      <c r="D28" s="85">
        <f t="shared" si="60"/>
        <v>0</v>
      </c>
      <c r="E28" s="85">
        <f t="shared" si="60"/>
        <v>0</v>
      </c>
      <c r="F28" s="85">
        <f>F23*F27</f>
        <v>0</v>
      </c>
      <c r="G28" s="85">
        <f t="shared" si="60"/>
        <v>36358717.362581983</v>
      </c>
      <c r="H28" s="85">
        <f t="shared" si="60"/>
        <v>64687310.276273325</v>
      </c>
      <c r="I28" s="85">
        <f t="shared" si="60"/>
        <v>94419112.491074041</v>
      </c>
      <c r="J28" s="85">
        <f t="shared" si="60"/>
        <v>125554124.00698408</v>
      </c>
      <c r="K28" s="85">
        <f t="shared" si="60"/>
        <v>158092344.82400355</v>
      </c>
      <c r="L28" s="85">
        <f t="shared" si="60"/>
        <v>202996276.19213232</v>
      </c>
      <c r="M28" s="85">
        <f t="shared" si="60"/>
        <v>249813139.36137044</v>
      </c>
      <c r="N28" s="85">
        <f t="shared" si="60"/>
        <v>390320724.33171791</v>
      </c>
      <c r="O28" s="85">
        <f t="shared" si="60"/>
        <v>536819021.10317475</v>
      </c>
      <c r="P28" s="85">
        <f t="shared" si="60"/>
        <v>548485549.20816684</v>
      </c>
      <c r="Q28" s="85">
        <f t="shared" si="60"/>
        <v>560152077.31315899</v>
      </c>
      <c r="R28" s="85">
        <f t="shared" si="60"/>
        <v>571818605.41815102</v>
      </c>
      <c r="S28" s="85">
        <f t="shared" si="60"/>
        <v>583485133.52314317</v>
      </c>
      <c r="T28" s="85">
        <f t="shared" si="60"/>
        <v>595151661.62813532</v>
      </c>
      <c r="U28" s="85">
        <f t="shared" si="60"/>
        <v>606818189.73312736</v>
      </c>
      <c r="V28" s="85">
        <f t="shared" si="60"/>
        <v>618484717.83811951</v>
      </c>
      <c r="W28" s="85">
        <f t="shared" si="60"/>
        <v>630151245.94311166</v>
      </c>
      <c r="X28" s="85">
        <f t="shared" si="60"/>
        <v>641817774.04810369</v>
      </c>
      <c r="Y28" s="85">
        <f t="shared" si="60"/>
        <v>653484302.15309584</v>
      </c>
      <c r="Z28" s="85">
        <f t="shared" si="60"/>
        <v>665150830.25808799</v>
      </c>
      <c r="AA28" s="85">
        <f t="shared" si="60"/>
        <v>676817358.36308002</v>
      </c>
      <c r="AB28" s="85">
        <f t="shared" si="60"/>
        <v>688483886.46807218</v>
      </c>
      <c r="AC28" s="85">
        <f t="shared" si="60"/>
        <v>700150414.57306433</v>
      </c>
      <c r="AD28" s="85">
        <f t="shared" si="60"/>
        <v>711816942.67805636</v>
      </c>
      <c r="AE28" s="85">
        <f t="shared" si="60"/>
        <v>723483470.78304851</v>
      </c>
      <c r="AF28" s="85">
        <f t="shared" si="60"/>
        <v>735149998.88804054</v>
      </c>
      <c r="AG28" s="85">
        <f t="shared" si="60"/>
        <v>746816526.99303269</v>
      </c>
      <c r="AH28" s="85">
        <f t="shared" si="60"/>
        <v>758483055.09802485</v>
      </c>
      <c r="AI28" s="85">
        <f t="shared" si="60"/>
        <v>770149583.20301688</v>
      </c>
      <c r="AJ28" s="85">
        <f t="shared" si="60"/>
        <v>781816111.30800903</v>
      </c>
      <c r="AK28" s="85">
        <f t="shared" si="60"/>
        <v>793482639.41300118</v>
      </c>
      <c r="AL28" s="85">
        <f t="shared" si="60"/>
        <v>805149167.51799321</v>
      </c>
      <c r="AM28" s="85">
        <f t="shared" si="60"/>
        <v>816815695.62298536</v>
      </c>
      <c r="AN28" s="85">
        <f t="shared" ref="AN28:AP28" si="61">AN23*AN27</f>
        <v>828482223.72797751</v>
      </c>
      <c r="AO28" s="85">
        <f t="shared" si="61"/>
        <v>840148751.83296955</v>
      </c>
      <c r="AP28" s="85">
        <f t="shared" si="61"/>
        <v>851815279.9379617</v>
      </c>
      <c r="AQ28" s="85">
        <f t="shared" ref="AQ28:AS28" si="62">AQ23*AQ27</f>
        <v>863481808.04295385</v>
      </c>
      <c r="AR28" s="85">
        <f t="shared" si="62"/>
        <v>875148336.14794588</v>
      </c>
      <c r="AS28" s="85">
        <f t="shared" si="62"/>
        <v>886814864.25293803</v>
      </c>
      <c r="AT28" s="85">
        <f t="shared" ref="AT28:AY28" si="63">AT23*AT27</f>
        <v>898481392.35793018</v>
      </c>
      <c r="AU28" s="85">
        <f t="shared" si="63"/>
        <v>910147920.46292222</v>
      </c>
      <c r="AV28" s="85">
        <f t="shared" si="63"/>
        <v>921814448.56791437</v>
      </c>
      <c r="AW28" s="85">
        <f t="shared" si="63"/>
        <v>933480976.67290652</v>
      </c>
      <c r="AX28" s="85">
        <f t="shared" si="63"/>
        <v>945147504.77789855</v>
      </c>
      <c r="AY28" s="85">
        <f t="shared" si="63"/>
        <v>956814032.8828907</v>
      </c>
      <c r="AZ28" s="85">
        <f t="shared" ref="AZ28:BE28" si="64">AZ23*AZ27</f>
        <v>968480560.98788285</v>
      </c>
      <c r="BA28" s="85">
        <f t="shared" si="64"/>
        <v>980147089.09287488</v>
      </c>
      <c r="BB28" s="85">
        <f t="shared" si="64"/>
        <v>991813617.19786704</v>
      </c>
      <c r="BC28" s="85">
        <f t="shared" si="64"/>
        <v>1003480145.3028592</v>
      </c>
      <c r="BD28" s="85">
        <f t="shared" si="64"/>
        <v>1015146673.4078512</v>
      </c>
      <c r="BE28" s="85">
        <f t="shared" si="64"/>
        <v>1026813201.5128434</v>
      </c>
      <c r="BF28" s="85">
        <f t="shared" ref="BF28:BG28" si="65">BF23*BF27</f>
        <v>1038479729.6178355</v>
      </c>
      <c r="BG28" s="85">
        <f t="shared" si="65"/>
        <v>1050146257.7228276</v>
      </c>
      <c r="BH28" s="85">
        <f t="shared" ref="BH28" si="66">BH23*BH27</f>
        <v>1061812785.8278197</v>
      </c>
      <c r="BI28" s="85"/>
    </row>
    <row r="29" spans="1:61" x14ac:dyDescent="0.2">
      <c r="B29" s="3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x14ac:dyDescent="0.2">
      <c r="A30" t="s">
        <v>13</v>
      </c>
      <c r="B30" s="31"/>
      <c r="C30" s="122">
        <f t="shared" ref="C30:AL30" si="67" xml:space="preserve"> D31</f>
        <v>0</v>
      </c>
      <c r="D30" s="122">
        <f t="shared" si="67"/>
        <v>0</v>
      </c>
      <c r="E30" s="122">
        <f t="shared" si="67"/>
        <v>8</v>
      </c>
      <c r="F30" s="122">
        <f t="shared" si="67"/>
        <v>9</v>
      </c>
      <c r="G30" s="122">
        <f t="shared" si="67"/>
        <v>9</v>
      </c>
      <c r="H30" s="122">
        <f t="shared" si="67"/>
        <v>9</v>
      </c>
      <c r="I30" s="122">
        <f t="shared" si="67"/>
        <v>9</v>
      </c>
      <c r="J30" s="122">
        <f t="shared" si="67"/>
        <v>8</v>
      </c>
      <c r="K30" s="122">
        <f t="shared" si="67"/>
        <v>8</v>
      </c>
      <c r="L30" s="122">
        <f t="shared" si="67"/>
        <v>0</v>
      </c>
      <c r="M30" s="122">
        <f t="shared" si="67"/>
        <v>0</v>
      </c>
      <c r="N30" s="122">
        <f t="shared" si="67"/>
        <v>0</v>
      </c>
      <c r="O30" s="122">
        <f t="shared" si="67"/>
        <v>0</v>
      </c>
      <c r="P30" s="122">
        <f t="shared" si="67"/>
        <v>0</v>
      </c>
      <c r="Q30" s="122">
        <f t="shared" si="67"/>
        <v>0</v>
      </c>
      <c r="R30" s="122">
        <f t="shared" si="67"/>
        <v>0</v>
      </c>
      <c r="S30" s="122">
        <f t="shared" si="67"/>
        <v>0</v>
      </c>
      <c r="T30" s="122">
        <f t="shared" si="67"/>
        <v>0</v>
      </c>
      <c r="U30" s="122">
        <f t="shared" si="67"/>
        <v>0</v>
      </c>
      <c r="V30" s="122">
        <f t="shared" si="67"/>
        <v>0</v>
      </c>
      <c r="W30" s="122">
        <f t="shared" si="67"/>
        <v>0</v>
      </c>
      <c r="X30" s="122">
        <f t="shared" si="67"/>
        <v>0</v>
      </c>
      <c r="Y30" s="122">
        <f t="shared" si="67"/>
        <v>0</v>
      </c>
      <c r="Z30" s="122">
        <f t="shared" si="67"/>
        <v>0</v>
      </c>
      <c r="AA30" s="122">
        <f t="shared" si="67"/>
        <v>0</v>
      </c>
      <c r="AB30" s="122">
        <f t="shared" si="67"/>
        <v>0</v>
      </c>
      <c r="AC30" s="122">
        <f t="shared" si="67"/>
        <v>0</v>
      </c>
      <c r="AD30" s="122">
        <f t="shared" si="67"/>
        <v>0</v>
      </c>
      <c r="AE30" s="122">
        <f t="shared" si="67"/>
        <v>0</v>
      </c>
      <c r="AF30" s="122">
        <f t="shared" si="67"/>
        <v>0</v>
      </c>
      <c r="AG30" s="122">
        <f t="shared" si="67"/>
        <v>0</v>
      </c>
      <c r="AH30" s="122">
        <f t="shared" si="67"/>
        <v>0</v>
      </c>
      <c r="AI30" s="122">
        <f t="shared" si="67"/>
        <v>0</v>
      </c>
      <c r="AJ30" s="122">
        <f t="shared" si="67"/>
        <v>0</v>
      </c>
      <c r="AK30" s="122">
        <f t="shared" si="67"/>
        <v>0</v>
      </c>
      <c r="AL30" s="122">
        <f t="shared" si="67"/>
        <v>0</v>
      </c>
      <c r="AM30" s="122">
        <f t="shared" ref="AM30:BH30" si="68" xml:space="preserve"> BI31</f>
        <v>0</v>
      </c>
      <c r="AN30" s="122">
        <f t="shared" si="68"/>
        <v>0</v>
      </c>
      <c r="AO30" s="122">
        <f t="shared" si="68"/>
        <v>0</v>
      </c>
      <c r="AP30" s="122">
        <f t="shared" si="68"/>
        <v>0</v>
      </c>
      <c r="AQ30" s="122">
        <f t="shared" si="68"/>
        <v>0</v>
      </c>
      <c r="AR30" s="122">
        <f t="shared" si="68"/>
        <v>0</v>
      </c>
      <c r="AS30" s="122">
        <f t="shared" si="68"/>
        <v>0</v>
      </c>
      <c r="AT30" s="122">
        <f t="shared" si="68"/>
        <v>0</v>
      </c>
      <c r="AU30" s="122">
        <f t="shared" si="68"/>
        <v>0</v>
      </c>
      <c r="AV30" s="122">
        <f t="shared" si="68"/>
        <v>0</v>
      </c>
      <c r="AW30" s="122">
        <f t="shared" si="68"/>
        <v>0</v>
      </c>
      <c r="AX30" s="122">
        <f t="shared" si="68"/>
        <v>0</v>
      </c>
      <c r="AY30" s="122">
        <f t="shared" si="68"/>
        <v>0</v>
      </c>
      <c r="AZ30" s="122">
        <f t="shared" si="68"/>
        <v>0</v>
      </c>
      <c r="BA30" s="122">
        <f t="shared" si="68"/>
        <v>0</v>
      </c>
      <c r="BB30" s="122">
        <f t="shared" si="68"/>
        <v>0</v>
      </c>
      <c r="BC30" s="122">
        <f t="shared" si="68"/>
        <v>0</v>
      </c>
      <c r="BD30" s="122">
        <f t="shared" si="68"/>
        <v>0</v>
      </c>
      <c r="BE30" s="122">
        <f t="shared" si="68"/>
        <v>0</v>
      </c>
      <c r="BF30" s="122">
        <f t="shared" si="68"/>
        <v>0</v>
      </c>
      <c r="BG30" s="122">
        <f t="shared" si="68"/>
        <v>0</v>
      </c>
      <c r="BH30" s="122">
        <f t="shared" si="68"/>
        <v>0</v>
      </c>
    </row>
    <row r="31" spans="1:61" x14ac:dyDescent="0.2">
      <c r="A31" t="s">
        <v>14</v>
      </c>
      <c r="B31" s="31"/>
      <c r="C31" s="122">
        <f t="shared" ref="C31:AL31" si="69" xml:space="preserve"> D32-C32</f>
        <v>0</v>
      </c>
      <c r="D31" s="122">
        <f t="shared" si="69"/>
        <v>0</v>
      </c>
      <c r="E31" s="122">
        <f t="shared" si="69"/>
        <v>0</v>
      </c>
      <c r="F31" s="122">
        <f t="shared" si="69"/>
        <v>8</v>
      </c>
      <c r="G31" s="122">
        <f t="shared" si="69"/>
        <v>9</v>
      </c>
      <c r="H31" s="122">
        <f t="shared" si="69"/>
        <v>9</v>
      </c>
      <c r="I31" s="122">
        <f t="shared" si="69"/>
        <v>9</v>
      </c>
      <c r="J31" s="122">
        <f t="shared" si="69"/>
        <v>9</v>
      </c>
      <c r="K31" s="122">
        <f t="shared" si="69"/>
        <v>8</v>
      </c>
      <c r="L31" s="122">
        <f t="shared" si="69"/>
        <v>8</v>
      </c>
      <c r="M31" s="122">
        <f t="shared" si="69"/>
        <v>0</v>
      </c>
      <c r="N31" s="122">
        <f t="shared" si="69"/>
        <v>0</v>
      </c>
      <c r="O31" s="122">
        <f t="shared" si="69"/>
        <v>0</v>
      </c>
      <c r="P31" s="122">
        <f t="shared" si="69"/>
        <v>0</v>
      </c>
      <c r="Q31" s="122">
        <f t="shared" si="69"/>
        <v>0</v>
      </c>
      <c r="R31" s="122">
        <f t="shared" si="69"/>
        <v>0</v>
      </c>
      <c r="S31" s="122">
        <f t="shared" si="69"/>
        <v>0</v>
      </c>
      <c r="T31" s="122">
        <f t="shared" si="69"/>
        <v>0</v>
      </c>
      <c r="U31" s="122">
        <f t="shared" si="69"/>
        <v>0</v>
      </c>
      <c r="V31" s="122">
        <f t="shared" si="69"/>
        <v>0</v>
      </c>
      <c r="W31" s="122">
        <f t="shared" si="69"/>
        <v>0</v>
      </c>
      <c r="X31" s="122">
        <f t="shared" si="69"/>
        <v>0</v>
      </c>
      <c r="Y31" s="122">
        <f t="shared" si="69"/>
        <v>0</v>
      </c>
      <c r="Z31" s="122">
        <f t="shared" si="69"/>
        <v>0</v>
      </c>
      <c r="AA31" s="122">
        <f t="shared" si="69"/>
        <v>0</v>
      </c>
      <c r="AB31" s="122">
        <f t="shared" si="69"/>
        <v>0</v>
      </c>
      <c r="AC31" s="122">
        <f t="shared" si="69"/>
        <v>0</v>
      </c>
      <c r="AD31" s="122">
        <f t="shared" si="69"/>
        <v>0</v>
      </c>
      <c r="AE31" s="122">
        <f t="shared" si="69"/>
        <v>0</v>
      </c>
      <c r="AF31" s="122">
        <f t="shared" si="69"/>
        <v>0</v>
      </c>
      <c r="AG31" s="122">
        <f t="shared" si="69"/>
        <v>0</v>
      </c>
      <c r="AH31" s="122">
        <f t="shared" si="69"/>
        <v>0</v>
      </c>
      <c r="AI31" s="122">
        <f t="shared" si="69"/>
        <v>0</v>
      </c>
      <c r="AJ31" s="122">
        <f t="shared" si="69"/>
        <v>0</v>
      </c>
      <c r="AK31" s="122">
        <f t="shared" si="69"/>
        <v>0</v>
      </c>
      <c r="AL31" s="122">
        <f t="shared" si="69"/>
        <v>0</v>
      </c>
      <c r="AM31" s="122">
        <v>0</v>
      </c>
      <c r="AN31" s="122">
        <v>0</v>
      </c>
      <c r="AO31" s="122">
        <v>0</v>
      </c>
      <c r="AP31" s="122">
        <v>0</v>
      </c>
      <c r="AQ31" s="122">
        <v>0</v>
      </c>
      <c r="AR31" s="122">
        <v>0</v>
      </c>
      <c r="AS31" s="122">
        <v>0</v>
      </c>
      <c r="AT31" s="122">
        <v>0</v>
      </c>
      <c r="AU31" s="122">
        <v>0</v>
      </c>
      <c r="AV31" s="122">
        <v>0</v>
      </c>
      <c r="AW31" s="122">
        <v>0</v>
      </c>
      <c r="AX31" s="122">
        <v>0</v>
      </c>
      <c r="AY31" s="122">
        <v>0</v>
      </c>
      <c r="AZ31" s="122">
        <v>0</v>
      </c>
      <c r="BA31" s="122">
        <v>0</v>
      </c>
      <c r="BB31" s="122">
        <v>0</v>
      </c>
      <c r="BC31" s="122">
        <v>0</v>
      </c>
      <c r="BD31" s="122">
        <v>0</v>
      </c>
      <c r="BE31" s="122">
        <v>0</v>
      </c>
      <c r="BF31" s="122">
        <v>0</v>
      </c>
      <c r="BG31" s="122">
        <v>0</v>
      </c>
      <c r="BH31" s="122">
        <v>0</v>
      </c>
    </row>
    <row r="32" spans="1:61" x14ac:dyDescent="0.2">
      <c r="A32" t="s">
        <v>841</v>
      </c>
      <c r="B32" s="21">
        <v>60</v>
      </c>
      <c r="C32">
        <f xml:space="preserve"> IF(ROUNDDOWN(0.75 * (C49/'Levellized Salt Refinery Plant '!$C$53), 0)&lt;$B$32, ROUNDDOWN(0.75 * (C49/'Levellized Salt Refinery Plant '!$C$53), 0), $B$32)</f>
        <v>0</v>
      </c>
      <c r="D32">
        <f xml:space="preserve"> IF(ROUNDDOWN(0.75 * (D49/'Levellized Salt Refinery Plant '!$C$53), 0)&lt;$B$32, ROUNDDOWN(0.75 * (D49/'Levellized Salt Refinery Plant '!$C$53), 0), $B$32)</f>
        <v>0</v>
      </c>
      <c r="E32">
        <f xml:space="preserve"> IF(ROUNDDOWN(0.75 * (E49/'Levellized Salt Refinery Plant '!$C$53), 0)&lt;$B$32, ROUNDDOWN(0.75 * (E49/'Levellized Salt Refinery Plant '!$C$53), 0), $B$32)</f>
        <v>0</v>
      </c>
      <c r="F32">
        <f xml:space="preserve"> IF(ROUNDDOWN(0.75 * (F49/'Levellized Salt Refinery Plant '!$C$53), 0)&lt;$B$32, ROUNDDOWN(0.75 * (F49/'Levellized Salt Refinery Plant '!$C$53), 0), $B$32)</f>
        <v>0</v>
      </c>
      <c r="G32">
        <f xml:space="preserve"> IF(ROUNDDOWN(0.75 * (G49/'Levellized Salt Refinery Plant '!$C$53), 0)&lt;$B$32, ROUNDDOWN(0.75 * (G49/'Levellized Salt Refinery Plant '!$C$53), 0), $B$32)</f>
        <v>8</v>
      </c>
      <c r="H32">
        <f xml:space="preserve"> IF(ROUNDDOWN(0.75 * (H49/'Levellized Salt Refinery Plant '!$C$53), 0)&lt;$B$32, ROUNDDOWN(0.75 * (H49/'Levellized Salt Refinery Plant '!$C$53), 0), $B$32)</f>
        <v>17</v>
      </c>
      <c r="I32">
        <f xml:space="preserve"> IF(ROUNDDOWN(0.75 * (I49/'Levellized Salt Refinery Plant '!$C$53), 0)&lt;$B$32, ROUNDDOWN(0.75 * (I49/'Levellized Salt Refinery Plant '!$C$53), 0), $B$32)</f>
        <v>26</v>
      </c>
      <c r="J32">
        <f xml:space="preserve"> IF(ROUNDDOWN(0.75 * (J49/'Levellized Salt Refinery Plant '!$C$53), 0)&lt;$B$32, ROUNDDOWN(0.75 * (J49/'Levellized Salt Refinery Plant '!$C$53), 0), $B$32)</f>
        <v>35</v>
      </c>
      <c r="K32">
        <f xml:space="preserve"> IF(ROUNDDOWN(0.75 * (K49/'Levellized Salt Refinery Plant '!$C$53), 0)&lt;$B$32, ROUNDDOWN(0.75 * (K49/'Levellized Salt Refinery Plant '!$C$53), 0), $B$32)</f>
        <v>44</v>
      </c>
      <c r="L32">
        <f xml:space="preserve"> IF(ROUNDDOWN(0.75 * (L49/'Levellized Salt Refinery Plant '!$C$53), 0)&lt;$B$32, ROUNDDOWN(0.75 * (L49/'Levellized Salt Refinery Plant '!$C$53), 0), $B$32)</f>
        <v>52</v>
      </c>
      <c r="M32">
        <f xml:space="preserve"> IF(ROUNDDOWN(0.75 * (M49/'Levellized Salt Refinery Plant '!$C$53), 0)&lt;$B$32, ROUNDDOWN(0.75 * (M49/'Levellized Salt Refinery Plant '!$C$53), 0), $B$32)</f>
        <v>60</v>
      </c>
      <c r="N32">
        <f xml:space="preserve"> IF(ROUNDDOWN(0.75 * (N49/'Levellized Salt Refinery Plant '!$C$53), 0)&lt;$B$32, ROUNDDOWN(0.75 * (N49/'Levellized Salt Refinery Plant '!$C$53), 0), $B$32)</f>
        <v>60</v>
      </c>
      <c r="O32">
        <f xml:space="preserve"> IF(ROUNDDOWN(0.75 * (O49/'Levellized Salt Refinery Plant '!$C$53), 0)&lt;$B$32, ROUNDDOWN(0.75 * (O49/'Levellized Salt Refinery Plant '!$C$53), 0), $B$32)</f>
        <v>60</v>
      </c>
      <c r="P32">
        <f xml:space="preserve"> IF(ROUNDDOWN(0.75 * (P49/'Levellized Salt Refinery Plant '!$C$53), 0)&lt;$B$32, ROUNDDOWN(0.75 * (P49/'Levellized Salt Refinery Plant '!$C$53), 0), $B$32)</f>
        <v>60</v>
      </c>
      <c r="Q32">
        <f xml:space="preserve"> IF(ROUNDDOWN(0.75 * (Q49/'Levellized Salt Refinery Plant '!$C$53), 0)&lt;$B$32, ROUNDDOWN(0.75 * (Q49/'Levellized Salt Refinery Plant '!$C$53), 0), $B$32)</f>
        <v>60</v>
      </c>
      <c r="R32">
        <f xml:space="preserve"> IF(ROUNDDOWN(0.75 * (R49/'Levellized Salt Refinery Plant '!$C$53), 0)&lt;$B$32, ROUNDDOWN(0.75 * (R49/'Levellized Salt Refinery Plant '!$C$53), 0), $B$32)</f>
        <v>60</v>
      </c>
      <c r="S32">
        <f xml:space="preserve"> IF(ROUNDDOWN(0.75 * (S49/'Levellized Salt Refinery Plant '!$C$53), 0)&lt;$B$32, ROUNDDOWN(0.75 * (S49/'Levellized Salt Refinery Plant '!$C$53), 0), $B$32)</f>
        <v>60</v>
      </c>
      <c r="T32">
        <f xml:space="preserve"> IF(ROUNDDOWN(0.75 * (T49/'Levellized Salt Refinery Plant '!$C$53), 0)&lt;$B$32, ROUNDDOWN(0.75 * (T49/'Levellized Salt Refinery Plant '!$C$53), 0), $B$32)</f>
        <v>60</v>
      </c>
      <c r="U32">
        <f xml:space="preserve"> IF(ROUNDDOWN(0.75 * (U49/'Levellized Salt Refinery Plant '!$C$53), 0)&lt;$B$32, ROUNDDOWN(0.75 * (U49/'Levellized Salt Refinery Plant '!$C$53), 0), $B$32)</f>
        <v>60</v>
      </c>
      <c r="V32">
        <f xml:space="preserve"> IF(ROUNDDOWN(0.75 * (V49/'Levellized Salt Refinery Plant '!$C$53), 0)&lt;$B$32, ROUNDDOWN(0.75 * (V49/'Levellized Salt Refinery Plant '!$C$53), 0), $B$32)</f>
        <v>60</v>
      </c>
      <c r="W32">
        <f xml:space="preserve"> IF(ROUNDDOWN(0.75 * (W49/'Levellized Salt Refinery Plant '!$C$53), 0)&lt;$B$32, ROUNDDOWN(0.75 * (W49/'Levellized Salt Refinery Plant '!$C$53), 0), $B$32)</f>
        <v>60</v>
      </c>
      <c r="X32">
        <f xml:space="preserve"> IF(ROUNDDOWN(0.75 * (X49/'Levellized Salt Refinery Plant '!$C$53), 0)&lt;$B$32, ROUNDDOWN(0.75 * (X49/'Levellized Salt Refinery Plant '!$C$53), 0), $B$32)</f>
        <v>60</v>
      </c>
      <c r="Y32">
        <f xml:space="preserve"> IF(ROUNDDOWN(0.75 * (Y49/'Levellized Salt Refinery Plant '!$C$53), 0)&lt;$B$32, ROUNDDOWN(0.75 * (Y49/'Levellized Salt Refinery Plant '!$C$53), 0), $B$32)</f>
        <v>60</v>
      </c>
      <c r="Z32">
        <f xml:space="preserve"> IF(ROUNDDOWN(0.75 * (Z49/'Levellized Salt Refinery Plant '!$C$53), 0)&lt;$B$32, ROUNDDOWN(0.75 * (Z49/'Levellized Salt Refinery Plant '!$C$53), 0), $B$32)</f>
        <v>60</v>
      </c>
      <c r="AA32">
        <f xml:space="preserve"> IF(ROUNDDOWN(0.75 * (AA49/'Levellized Salt Refinery Plant '!$C$53), 0)&lt;$B$32, ROUNDDOWN(0.75 * (AA49/'Levellized Salt Refinery Plant '!$C$53), 0), $B$32)</f>
        <v>60</v>
      </c>
      <c r="AB32">
        <f xml:space="preserve"> IF(ROUNDDOWN(0.75 * (AB49/'Levellized Salt Refinery Plant '!$C$53), 0)&lt;$B$32, ROUNDDOWN(0.75 * (AB49/'Levellized Salt Refinery Plant '!$C$53), 0), $B$32)</f>
        <v>60</v>
      </c>
      <c r="AC32">
        <f xml:space="preserve"> IF(ROUNDDOWN(0.75 * (AC49/'Levellized Salt Refinery Plant '!$C$53), 0)&lt;$B$32, ROUNDDOWN(0.75 * (AC49/'Levellized Salt Refinery Plant '!$C$53), 0), $B$32)</f>
        <v>60</v>
      </c>
      <c r="AD32">
        <f xml:space="preserve"> IF(ROUNDDOWN(0.75 * (AD49/'Levellized Salt Refinery Plant '!$C$53), 0)&lt;$B$32, ROUNDDOWN(0.75 * (AD49/'Levellized Salt Refinery Plant '!$C$53), 0), $B$32)</f>
        <v>60</v>
      </c>
      <c r="AE32">
        <f xml:space="preserve"> IF(ROUNDDOWN(0.75 * (AE49/'Levellized Salt Refinery Plant '!$C$53), 0)&lt;$B$32, ROUNDDOWN(0.75 * (AE49/'Levellized Salt Refinery Plant '!$C$53), 0), $B$32)</f>
        <v>60</v>
      </c>
      <c r="AF32">
        <f xml:space="preserve"> IF(ROUNDDOWN(0.75 * (AF49/'Levellized Salt Refinery Plant '!$C$53), 0)&lt;$B$32, ROUNDDOWN(0.75 * (AF49/'Levellized Salt Refinery Plant '!$C$53), 0), $B$32)</f>
        <v>60</v>
      </c>
      <c r="AG32">
        <f xml:space="preserve"> IF(ROUNDDOWN(0.75 * (AG49/'Levellized Salt Refinery Plant '!$C$53), 0)&lt;$B$32, ROUNDDOWN(0.75 * (AG49/'Levellized Salt Refinery Plant '!$C$53), 0), $B$32)</f>
        <v>60</v>
      </c>
      <c r="AH32">
        <f xml:space="preserve"> IF(ROUNDDOWN(0.75 * (AH49/'Levellized Salt Refinery Plant '!$C$53), 0)&lt;$B$32, ROUNDDOWN(0.75 * (AH49/'Levellized Salt Refinery Plant '!$C$53), 0), $B$32)</f>
        <v>60</v>
      </c>
      <c r="AI32">
        <f xml:space="preserve"> IF(ROUNDDOWN(0.75 * (AI49/'Levellized Salt Refinery Plant '!$C$53), 0)&lt;$B$32, ROUNDDOWN(0.75 * (AI49/'Levellized Salt Refinery Plant '!$C$53), 0), $B$32)</f>
        <v>60</v>
      </c>
      <c r="AJ32">
        <f xml:space="preserve"> IF(ROUNDDOWN(0.75 * (AJ49/'Levellized Salt Refinery Plant '!$C$53), 0)&lt;$B$32, ROUNDDOWN(0.75 * (AJ49/'Levellized Salt Refinery Plant '!$C$53), 0), $B$32)</f>
        <v>60</v>
      </c>
      <c r="AK32">
        <f xml:space="preserve"> IF(ROUNDDOWN(0.75 * (AK49/'Levellized Salt Refinery Plant '!$C$53), 0)&lt;$B$32, ROUNDDOWN(0.75 * (AK49/'Levellized Salt Refinery Plant '!$C$53), 0), $B$32)</f>
        <v>60</v>
      </c>
      <c r="AL32">
        <f xml:space="preserve"> IF(ROUNDDOWN(0.75 * (AL49/'Levellized Salt Refinery Plant '!$C$53), 0)&lt;$B$32, ROUNDDOWN(0.75 * (AL49/'Levellized Salt Refinery Plant '!$C$53), 0), $B$32)</f>
        <v>60</v>
      </c>
      <c r="AM32">
        <f xml:space="preserve"> IF(ROUNDDOWN(0.75 * (AM49/'Levellized Salt Refinery Plant '!$C$53), 0)&lt;$B$32, ROUNDDOWN(0.75 * (AM49/'Levellized Salt Refinery Plant '!$C$53), 0), $B$32)</f>
        <v>60</v>
      </c>
      <c r="AN32">
        <f xml:space="preserve"> IF(ROUNDDOWN(0.75 * (AN49/'Levellized Salt Refinery Plant '!$C$53), 0)&lt;$B$32, ROUNDDOWN(0.75 * (AN49/'Levellized Salt Refinery Plant '!$C$53), 0), $B$32)</f>
        <v>60</v>
      </c>
      <c r="AO32">
        <f xml:space="preserve"> IF(ROUNDDOWN(0.75 * (AO49/'Levellized Salt Refinery Plant '!$C$53), 0)&lt;$B$32, ROUNDDOWN(0.75 * (AO49/'Levellized Salt Refinery Plant '!$C$53), 0), $B$32)</f>
        <v>60</v>
      </c>
      <c r="AP32">
        <f xml:space="preserve"> IF(ROUNDDOWN(0.75 * (AP49/'Levellized Salt Refinery Plant '!$C$53), 0)&lt;$B$32, ROUNDDOWN(0.75 * (AP49/'Levellized Salt Refinery Plant '!$C$53), 0), $B$32)</f>
        <v>60</v>
      </c>
      <c r="AQ32">
        <f xml:space="preserve"> IF(ROUNDDOWN(0.75 * (AQ49/'Levellized Salt Refinery Plant '!$C$53), 0)&lt;$B$32, ROUNDDOWN(0.75 * (AQ49/'Levellized Salt Refinery Plant '!$C$53), 0), $B$32)</f>
        <v>60</v>
      </c>
      <c r="AR32">
        <f xml:space="preserve"> IF(ROUNDDOWN(0.75 * (AR49/'Levellized Salt Refinery Plant '!$C$53), 0)&lt;$B$32, ROUNDDOWN(0.75 * (AR49/'Levellized Salt Refinery Plant '!$C$53), 0), $B$32)</f>
        <v>60</v>
      </c>
      <c r="AS32">
        <f xml:space="preserve"> IF(ROUNDDOWN(0.75 * (AS49/'Levellized Salt Refinery Plant '!$C$53), 0)&lt;$B$32, ROUNDDOWN(0.75 * (AS49/'Levellized Salt Refinery Plant '!$C$53), 0), $B$32)</f>
        <v>60</v>
      </c>
      <c r="AT32">
        <f xml:space="preserve"> IF(ROUNDDOWN(0.75 * (AT49/'Levellized Salt Refinery Plant '!$C$53), 0)&lt;$B$32, ROUNDDOWN(0.75 * (AT49/'Levellized Salt Refinery Plant '!$C$53), 0), $B$32)</f>
        <v>60</v>
      </c>
      <c r="AU32">
        <f xml:space="preserve"> IF(ROUNDDOWN(0.75 * (AU49/'Levellized Salt Refinery Plant '!$C$53), 0)&lt;$B$32, ROUNDDOWN(0.75 * (AU49/'Levellized Salt Refinery Plant '!$C$53), 0), $B$32)</f>
        <v>60</v>
      </c>
      <c r="AV32">
        <f xml:space="preserve"> IF(ROUNDDOWN(0.75 * (AV49/'Levellized Salt Refinery Plant '!$C$53), 0)&lt;$B$32, ROUNDDOWN(0.75 * (AV49/'Levellized Salt Refinery Plant '!$C$53), 0), $B$32)</f>
        <v>60</v>
      </c>
      <c r="AW32">
        <f xml:space="preserve"> IF(ROUNDDOWN(0.75 * (AW49/'Levellized Salt Refinery Plant '!$C$53), 0)&lt;$B$32, ROUNDDOWN(0.75 * (AW49/'Levellized Salt Refinery Plant '!$C$53), 0), $B$32)</f>
        <v>60</v>
      </c>
      <c r="AX32">
        <f xml:space="preserve"> IF(ROUNDDOWN(0.75 * (AX49/'Levellized Salt Refinery Plant '!$C$53), 0)&lt;$B$32, ROUNDDOWN(0.75 * (AX49/'Levellized Salt Refinery Plant '!$C$53), 0), $B$32)</f>
        <v>60</v>
      </c>
      <c r="AY32">
        <f xml:space="preserve"> IF(ROUNDDOWN(0.75 * (AY49/'Levellized Salt Refinery Plant '!$C$53), 0)&lt;$B$32, ROUNDDOWN(0.75 * (AY49/'Levellized Salt Refinery Plant '!$C$53), 0), $B$32)</f>
        <v>60</v>
      </c>
      <c r="AZ32">
        <f xml:space="preserve"> IF(ROUNDDOWN(0.75 * (AZ49/'Levellized Salt Refinery Plant '!$C$53), 0)&lt;$B$32, ROUNDDOWN(0.75 * (AZ49/'Levellized Salt Refinery Plant '!$C$53), 0), $B$32)</f>
        <v>60</v>
      </c>
      <c r="BA32">
        <f xml:space="preserve"> IF(ROUNDDOWN(0.75 * (BA49/'Levellized Salt Refinery Plant '!$C$53), 0)&lt;$B$32, ROUNDDOWN(0.75 * (BA49/'Levellized Salt Refinery Plant '!$C$53), 0), $B$32)</f>
        <v>60</v>
      </c>
      <c r="BB32">
        <f xml:space="preserve"> IF(ROUNDDOWN(0.75 * (BB49/'Levellized Salt Refinery Plant '!$C$53), 0)&lt;$B$32, ROUNDDOWN(0.75 * (BB49/'Levellized Salt Refinery Plant '!$C$53), 0), $B$32)</f>
        <v>60</v>
      </c>
      <c r="BC32">
        <f xml:space="preserve"> IF(ROUNDDOWN(0.75 * (BC49/'Levellized Salt Refinery Plant '!$C$53), 0)&lt;$B$32, ROUNDDOWN(0.75 * (BC49/'Levellized Salt Refinery Plant '!$C$53), 0), $B$32)</f>
        <v>60</v>
      </c>
      <c r="BD32">
        <f xml:space="preserve"> IF(ROUNDDOWN(0.75 * (BD49/'Levellized Salt Refinery Plant '!$C$53), 0)&lt;$B$32, ROUNDDOWN(0.75 * (BD49/'Levellized Salt Refinery Plant '!$C$53), 0), $B$32)</f>
        <v>60</v>
      </c>
      <c r="BE32">
        <f xml:space="preserve"> IF(ROUNDDOWN(0.75 * (BE49/'Levellized Salt Refinery Plant '!$C$53), 0)&lt;$B$32, ROUNDDOWN(0.75 * (BE49/'Levellized Salt Refinery Plant '!$C$53), 0), $B$32)</f>
        <v>60</v>
      </c>
      <c r="BF32">
        <f xml:space="preserve"> IF(ROUNDDOWN(0.75 * (BF49/'Levellized Salt Refinery Plant '!$C$53), 0)&lt;$B$32, ROUNDDOWN(0.75 * (BF49/'Levellized Salt Refinery Plant '!$C$53), 0), $B$32)</f>
        <v>60</v>
      </c>
      <c r="BG32">
        <f xml:space="preserve"> IF(ROUNDDOWN(0.75 * (BG49/'Levellized Salt Refinery Plant '!$C$53), 0)&lt;$B$32, ROUNDDOWN(0.75 * (BG49/'Levellized Salt Refinery Plant '!$C$53), 0), $B$32)</f>
        <v>60</v>
      </c>
      <c r="BH32">
        <f xml:space="preserve"> IF(ROUNDDOWN(0.75 * (BH49/'Levellized Salt Refinery Plant '!$C$53), 0)&lt;$B$32, ROUNDDOWN(0.75 * (BH49/'Levellized Salt Refinery Plant '!$C$53), 0), $B$32)</f>
        <v>60</v>
      </c>
    </row>
    <row r="33" spans="1:61" x14ac:dyDescent="0.2">
      <c r="A33" t="s">
        <v>16</v>
      </c>
      <c r="B33" s="31"/>
      <c r="C33" s="5">
        <f>C32*'Levellized Salt Refinery Plant '!$C$53</f>
        <v>0</v>
      </c>
      <c r="D33" s="5">
        <f>D32*'Levellized Salt Refinery Plant '!$C$53</f>
        <v>0</v>
      </c>
      <c r="E33" s="5">
        <f>E32*'Levellized Salt Refinery Plant '!$C$53</f>
        <v>0</v>
      </c>
      <c r="F33" s="5">
        <f>F32*'Levellized Salt Refinery Plant '!$C$53</f>
        <v>0</v>
      </c>
      <c r="G33" s="5">
        <f>G32*'Levellized Salt Refinery Plant '!$C$53</f>
        <v>693500</v>
      </c>
      <c r="H33" s="5">
        <f>H32*'Levellized Salt Refinery Plant '!$C$53</f>
        <v>1473687.5</v>
      </c>
      <c r="I33" s="5">
        <f>I32*'Levellized Salt Refinery Plant '!$C$53</f>
        <v>2253875</v>
      </c>
      <c r="J33" s="5">
        <f>J32*'Levellized Salt Refinery Plant '!$C$53</f>
        <v>3034062.5</v>
      </c>
      <c r="K33" s="5">
        <f>K32*'Levellized Salt Refinery Plant '!$C$53</f>
        <v>3814250</v>
      </c>
      <c r="L33" s="5">
        <f>L32*'Levellized Salt Refinery Plant '!$C$53</f>
        <v>4507750</v>
      </c>
      <c r="M33" s="5">
        <f>M32*'Levellized Salt Refinery Plant '!$C$53</f>
        <v>5201250</v>
      </c>
      <c r="N33" s="5">
        <f>N32*'Levellized Salt Refinery Plant '!$C$53</f>
        <v>5201250</v>
      </c>
      <c r="O33" s="5">
        <f>O32*'Levellized Salt Refinery Plant '!$C$53</f>
        <v>5201250</v>
      </c>
      <c r="P33" s="5">
        <f>P32*'Levellized Salt Refinery Plant '!$C$53</f>
        <v>5201250</v>
      </c>
      <c r="Q33" s="5">
        <f>Q32*'Levellized Salt Refinery Plant '!$C$53</f>
        <v>5201250</v>
      </c>
      <c r="R33" s="5">
        <f>R32*'Levellized Salt Refinery Plant '!$C$53</f>
        <v>5201250</v>
      </c>
      <c r="S33" s="5">
        <f>S32*'Levellized Salt Refinery Plant '!$C$53</f>
        <v>5201250</v>
      </c>
      <c r="T33" s="5">
        <f>T32*'Levellized Salt Refinery Plant '!$C$53</f>
        <v>5201250</v>
      </c>
      <c r="U33" s="5">
        <f>U32*'Levellized Salt Refinery Plant '!$C$53</f>
        <v>5201250</v>
      </c>
      <c r="V33" s="5">
        <f>V32*'Levellized Salt Refinery Plant '!$C$53</f>
        <v>5201250</v>
      </c>
      <c r="W33" s="5">
        <f>W32*'Levellized Salt Refinery Plant '!$C$53</f>
        <v>5201250</v>
      </c>
      <c r="X33" s="5">
        <f>X32*'Levellized Salt Refinery Plant '!$C$53</f>
        <v>5201250</v>
      </c>
      <c r="Y33" s="5">
        <f>Y32*'Levellized Salt Refinery Plant '!$C$53</f>
        <v>5201250</v>
      </c>
      <c r="Z33" s="5">
        <f>Z32*'Levellized Salt Refinery Plant '!$C$53</f>
        <v>5201250</v>
      </c>
      <c r="AA33" s="5">
        <f>AA32*'Levellized Salt Refinery Plant '!$C$53</f>
        <v>5201250</v>
      </c>
      <c r="AB33" s="5">
        <f>AB32*'Levellized Salt Refinery Plant '!$C$53</f>
        <v>5201250</v>
      </c>
      <c r="AC33" s="5">
        <f>AC32*'Levellized Salt Refinery Plant '!$C$53</f>
        <v>5201250</v>
      </c>
      <c r="AD33" s="5">
        <f>AD32*'Levellized Salt Refinery Plant '!$C$53</f>
        <v>5201250</v>
      </c>
      <c r="AE33" s="5">
        <f>AE32*'Levellized Salt Refinery Plant '!$C$53</f>
        <v>5201250</v>
      </c>
      <c r="AF33" s="5">
        <f>AF32*'Levellized Salt Refinery Plant '!$C$53</f>
        <v>5201250</v>
      </c>
      <c r="AG33" s="5">
        <f>AG32*'Levellized Salt Refinery Plant '!$C$53</f>
        <v>5201250</v>
      </c>
      <c r="AH33" s="5">
        <f>AH32*'Levellized Salt Refinery Plant '!$C$53</f>
        <v>5201250</v>
      </c>
      <c r="AI33" s="5">
        <f>AI32*'Levellized Salt Refinery Plant '!$C$53</f>
        <v>5201250</v>
      </c>
      <c r="AJ33" s="5">
        <f>AJ32*'Levellized Salt Refinery Plant '!$C$53</f>
        <v>5201250</v>
      </c>
      <c r="AK33" s="5">
        <f>AK32*'Levellized Salt Refinery Plant '!$C$53</f>
        <v>5201250</v>
      </c>
      <c r="AL33" s="5">
        <f>AL32*'Levellized Salt Refinery Plant '!$C$53</f>
        <v>5201250</v>
      </c>
      <c r="AM33" s="5">
        <f>AM32*'Levellized Salt Refinery Plant '!$C$53</f>
        <v>5201250</v>
      </c>
      <c r="AN33" s="5">
        <f>AN32*'Levellized Salt Refinery Plant '!$C$53</f>
        <v>5201250</v>
      </c>
      <c r="AO33" s="5">
        <f>AO32*'Levellized Salt Refinery Plant '!$C$53</f>
        <v>5201250</v>
      </c>
      <c r="AP33" s="5">
        <f>AP32*'Levellized Salt Refinery Plant '!$C$53</f>
        <v>5201250</v>
      </c>
      <c r="AQ33" s="5">
        <f>AQ32*'Levellized Salt Refinery Plant '!$C$53</f>
        <v>5201250</v>
      </c>
      <c r="AR33" s="5">
        <f>AR32*'Levellized Salt Refinery Plant '!$C$53</f>
        <v>5201250</v>
      </c>
      <c r="AS33" s="5">
        <f>AS32*'Levellized Salt Refinery Plant '!$C$53</f>
        <v>5201250</v>
      </c>
      <c r="AT33" s="5">
        <f>AT32*'Levellized Salt Refinery Plant '!$C$53</f>
        <v>5201250</v>
      </c>
      <c r="AU33" s="5">
        <f>AU32*'Levellized Salt Refinery Plant '!$C$53</f>
        <v>5201250</v>
      </c>
      <c r="AV33" s="5">
        <f>AV32*'Levellized Salt Refinery Plant '!$C$53</f>
        <v>5201250</v>
      </c>
      <c r="AW33" s="5">
        <f>AW32*'Levellized Salt Refinery Plant '!$C$53</f>
        <v>5201250</v>
      </c>
      <c r="AX33" s="5">
        <f>AX32*'Levellized Salt Refinery Plant '!$C$53</f>
        <v>5201250</v>
      </c>
      <c r="AY33" s="5">
        <f>AY32*'Levellized Salt Refinery Plant '!$C$53</f>
        <v>5201250</v>
      </c>
      <c r="AZ33" s="5">
        <f>AZ32*'Levellized Salt Refinery Plant '!$C$53</f>
        <v>5201250</v>
      </c>
      <c r="BA33" s="5">
        <f>BA32*'Levellized Salt Refinery Plant '!$C$53</f>
        <v>5201250</v>
      </c>
      <c r="BB33" s="5">
        <f>BB32*'Levellized Salt Refinery Plant '!$C$53</f>
        <v>5201250</v>
      </c>
      <c r="BC33" s="5">
        <f>BC32*'Levellized Salt Refinery Plant '!$C$53</f>
        <v>5201250</v>
      </c>
      <c r="BD33" s="5">
        <f>BD32*'Levellized Salt Refinery Plant '!$C$53</f>
        <v>5201250</v>
      </c>
      <c r="BE33" s="5">
        <f>BE32*'Levellized Salt Refinery Plant '!$C$53</f>
        <v>5201250</v>
      </c>
      <c r="BF33" s="5">
        <f>BF32*'Levellized Salt Refinery Plant '!$C$53</f>
        <v>5201250</v>
      </c>
      <c r="BG33" s="5">
        <f>BG32*'Levellized Salt Refinery Plant '!$C$53</f>
        <v>5201250</v>
      </c>
      <c r="BH33" s="5">
        <f>BH32*'Levellized Salt Refinery Plant '!$C$53</f>
        <v>5201250</v>
      </c>
      <c r="BI33" s="5"/>
    </row>
    <row r="34" spans="1:61" s="82" customFormat="1" x14ac:dyDescent="0.2">
      <c r="A34" s="82" t="s">
        <v>17</v>
      </c>
      <c r="B34" s="156"/>
      <c r="C34" s="83">
        <f>IF(C31&gt;0,C31*'Levellized Salt Refinery Plant '!$C$2,0)</f>
        <v>0</v>
      </c>
      <c r="D34" s="83">
        <f>IF(D31&gt;0,D31*'Levellized Salt Refinery Plant '!$C$2,0)</f>
        <v>0</v>
      </c>
      <c r="E34" s="83">
        <f>IF(E31&gt;0,E31*'Levellized Salt Refinery Plant '!$C$2,0)</f>
        <v>0</v>
      </c>
      <c r="F34" s="83">
        <f>IF(F31&gt;0,F31*'Levellized Salt Refinery Plant '!$C$2,0)</f>
        <v>17487280</v>
      </c>
      <c r="G34" s="83">
        <f>IF(G31&gt;0,G31*'Levellized Salt Refinery Plant '!$C$2,0)</f>
        <v>19673190</v>
      </c>
      <c r="H34" s="83">
        <f>IF(H31&gt;0,H31*'Levellized Salt Refinery Plant '!$C$2,0)</f>
        <v>19673190</v>
      </c>
      <c r="I34" s="83">
        <f>IF(I31&gt;0,I31*'Levellized Salt Refinery Plant '!$C$2,0)</f>
        <v>19673190</v>
      </c>
      <c r="J34" s="83">
        <f>IF(J31&gt;0,J31*'Levellized Salt Refinery Plant '!$C$2,0)</f>
        <v>19673190</v>
      </c>
      <c r="K34" s="83">
        <f>IF(K31&gt;0,K31*'Levellized Salt Refinery Plant '!$C$2,0)</f>
        <v>17487280</v>
      </c>
      <c r="L34" s="83">
        <f>IF(L31&gt;0,L31*'Levellized Salt Refinery Plant '!$C$2,0)</f>
        <v>17487280</v>
      </c>
      <c r="M34" s="83">
        <f>IF(M31&gt;0,M31*'Levellized Salt Refinery Plant '!$C$2,0)</f>
        <v>0</v>
      </c>
      <c r="N34" s="83">
        <f>IF(N31&gt;0,N31*'Levellized Salt Refinery Plant '!$C$2,0)</f>
        <v>0</v>
      </c>
      <c r="O34" s="83">
        <f>IF(O31&gt;0,O31*'Levellized Salt Refinery Plant '!$C$2,0)</f>
        <v>0</v>
      </c>
      <c r="P34" s="83">
        <f>IF(P31&gt;0,P31*'Levellized Salt Refinery Plant '!$C$2,0)</f>
        <v>0</v>
      </c>
      <c r="Q34" s="83">
        <f>IF(Q31&gt;0,Q31*'Levellized Salt Refinery Plant '!$C$2,0)</f>
        <v>0</v>
      </c>
      <c r="R34" s="83">
        <f>IF(R31&gt;0,R31*'Levellized Salt Refinery Plant '!$C$2,0)</f>
        <v>0</v>
      </c>
      <c r="S34" s="83">
        <f>IF(S31&gt;0,S31*'Levellized Salt Refinery Plant '!$C$2,0)</f>
        <v>0</v>
      </c>
      <c r="T34" s="83">
        <f>IF(T31&gt;0,T31*'Levellized Salt Refinery Plant '!$C$2,0)</f>
        <v>0</v>
      </c>
      <c r="U34" s="83">
        <f>IF(U31&gt;0,U31*'Levellized Salt Refinery Plant '!$C$2,0)</f>
        <v>0</v>
      </c>
      <c r="V34" s="83">
        <f>IF(V31&gt;0,V31*'Levellized Salt Refinery Plant '!$C$2,0)</f>
        <v>0</v>
      </c>
      <c r="W34" s="83">
        <f>IF(W31&gt;0,W31*'Levellized Salt Refinery Plant '!$C$2,0)</f>
        <v>0</v>
      </c>
      <c r="X34" s="83">
        <f>IF(X31&gt;0,X31*'Levellized Salt Refinery Plant '!$C$2,0)</f>
        <v>0</v>
      </c>
      <c r="Y34" s="83">
        <f>IF(Y31&gt;0,Y31*'Levellized Salt Refinery Plant '!$C$2,0)</f>
        <v>0</v>
      </c>
      <c r="Z34" s="83">
        <f>IF(Z31&gt;0,Z31*'Levellized Salt Refinery Plant '!$C$2,0)</f>
        <v>0</v>
      </c>
      <c r="AA34" s="83">
        <f>IF(AA31&gt;0,AA31*'Levellized Salt Refinery Plant '!$C$2,0)</f>
        <v>0</v>
      </c>
      <c r="AB34" s="83">
        <f>IF(AB31&gt;0,AB31*'Levellized Salt Refinery Plant '!$C$2,0)</f>
        <v>0</v>
      </c>
      <c r="AC34" s="83">
        <f>IF(AC31&gt;0,AC31*'Levellized Salt Refinery Plant '!$C$2,0)</f>
        <v>0</v>
      </c>
      <c r="AD34" s="83">
        <f>IF(AD31&gt;0,AD31*'Levellized Salt Refinery Plant '!$C$2,0)</f>
        <v>0</v>
      </c>
      <c r="AE34" s="83">
        <f>IF(AE31&gt;0,AE31*'Levellized Salt Refinery Plant '!$C$2,0)</f>
        <v>0</v>
      </c>
      <c r="AF34" s="83">
        <f>IF(AF31&gt;0,AF31*'Levellized Salt Refinery Plant '!$C$2,0)</f>
        <v>0</v>
      </c>
      <c r="AG34" s="83">
        <f>IF(AG31&gt;0,AG31*'Levellized Salt Refinery Plant '!$C$2,0)</f>
        <v>0</v>
      </c>
      <c r="AH34" s="83">
        <f>IF(AH31&gt;0,AH31*'Levellized Salt Refinery Plant '!$C$2,0)</f>
        <v>0</v>
      </c>
      <c r="AI34" s="83">
        <f>IF(AI31&gt;0,AI31*'Levellized Salt Refinery Plant '!$C$2,0)</f>
        <v>0</v>
      </c>
      <c r="AJ34" s="83">
        <f>IF(AJ31&gt;0,AJ31*'Levellized Salt Refinery Plant '!$C$2,0)</f>
        <v>0</v>
      </c>
      <c r="AK34" s="83">
        <f>IF(AK31&gt;0,AK31*'Levellized Salt Refinery Plant '!$C$2,0)</f>
        <v>0</v>
      </c>
      <c r="AL34" s="83">
        <f>IF(AL31&gt;0,AL31*'Levellized Salt Refinery Plant '!$C$2,0)</f>
        <v>0</v>
      </c>
      <c r="AM34" s="83">
        <f>IF(AM31&gt;0,AM31*'Levellized Salt Refinery Plant '!$C$2,0)</f>
        <v>0</v>
      </c>
      <c r="AN34" s="83">
        <f>IF(AN31&gt;0,AN31*'Levellized Salt Refinery Plant '!$C$2,0)</f>
        <v>0</v>
      </c>
      <c r="AO34" s="83">
        <f>IF(AO31&gt;0,AO31*'Levellized Salt Refinery Plant '!$C$2,0)</f>
        <v>0</v>
      </c>
      <c r="AP34" s="83">
        <f>IF(AP31&gt;0,AP31*'Levellized Salt Refinery Plant '!$C$2,0)</f>
        <v>0</v>
      </c>
      <c r="AQ34" s="83">
        <f>IF(AQ31&gt;0,AQ31*'Levellized Salt Refinery Plant '!$C$2,0)</f>
        <v>0</v>
      </c>
      <c r="AR34" s="83">
        <f>IF(AR31&gt;0,AR31*'Levellized Salt Refinery Plant '!$C$2,0)</f>
        <v>0</v>
      </c>
      <c r="AS34" s="83">
        <f>IF(AS31&gt;0,AS31*'Levellized Salt Refinery Plant '!$C$2,0)</f>
        <v>0</v>
      </c>
      <c r="AT34" s="83">
        <f>IF(AT31&gt;0,AT31*'Levellized Salt Refinery Plant '!$C$2,0)</f>
        <v>0</v>
      </c>
      <c r="AU34" s="83">
        <f>IF(AU31&gt;0,AU31*'Levellized Salt Refinery Plant '!$C$2,0)</f>
        <v>0</v>
      </c>
      <c r="AV34" s="83">
        <f>IF(AV31&gt;0,AV31*'Levellized Salt Refinery Plant '!$C$2,0)</f>
        <v>0</v>
      </c>
      <c r="AW34" s="83">
        <f>IF(AW31&gt;0,AW31*'Levellized Salt Refinery Plant '!$C$2,0)</f>
        <v>0</v>
      </c>
      <c r="AX34" s="83">
        <f>IF(AX31&gt;0,AX31*'Levellized Salt Refinery Plant '!$C$2,0)</f>
        <v>0</v>
      </c>
      <c r="AY34" s="83">
        <f>IF(AY31&gt;0,AY31*'Levellized Salt Refinery Plant '!$C$2,0)</f>
        <v>0</v>
      </c>
      <c r="AZ34" s="83">
        <f>IF(AZ31&gt;0,AZ31*'Levellized Salt Refinery Plant '!$C$2,0)</f>
        <v>0</v>
      </c>
      <c r="BA34" s="83">
        <f>IF(BA31&gt;0,BA31*'Levellized Salt Refinery Plant '!$C$2,0)</f>
        <v>0</v>
      </c>
      <c r="BB34" s="83">
        <f>IF(BB31&gt;0,BB31*'Levellized Salt Refinery Plant '!$C$2,0)</f>
        <v>0</v>
      </c>
      <c r="BC34" s="83">
        <f>IF(BC31&gt;0,BC31*'Levellized Salt Refinery Plant '!$C$2,0)</f>
        <v>0</v>
      </c>
      <c r="BD34" s="83">
        <f>IF(BD31&gt;0,BD31*'Levellized Salt Refinery Plant '!$C$2,0)</f>
        <v>0</v>
      </c>
      <c r="BE34" s="83">
        <f>IF(BE31&gt;0,BE31*'Levellized Salt Refinery Plant '!$C$2,0)</f>
        <v>0</v>
      </c>
      <c r="BF34" s="83">
        <f>IF(BF31&gt;0,BF31*'Levellized Salt Refinery Plant '!$C$2,0)</f>
        <v>0</v>
      </c>
      <c r="BG34" s="83">
        <f>IF(BG31&gt;0,BG31*'Levellized Salt Refinery Plant '!$C$2,0)</f>
        <v>0</v>
      </c>
      <c r="BH34" s="83">
        <f>IF(BH31&gt;0,BH31*'Levellized Salt Refinery Plant '!$C$2,0)</f>
        <v>0</v>
      </c>
      <c r="BI34" s="83"/>
    </row>
    <row r="35" spans="1:61" s="82" customFormat="1" x14ac:dyDescent="0.2">
      <c r="A35" s="82" t="s">
        <v>18</v>
      </c>
      <c r="B35" s="156"/>
      <c r="C35" s="83">
        <f>C32*'Levellized Salt Refinery Plant '!$C$35</f>
        <v>0</v>
      </c>
      <c r="D35" s="83">
        <f>D32*'Levellized Salt Refinery Plant '!$C$35</f>
        <v>0</v>
      </c>
      <c r="E35" s="83">
        <f>E32*'Levellized Salt Refinery Plant '!$C$35</f>
        <v>0</v>
      </c>
      <c r="F35" s="83">
        <f>F32*'Levellized Salt Refinery Plant '!$C$35</f>
        <v>0</v>
      </c>
      <c r="G35" s="83">
        <f>G32*'Levellized Salt Refinery Plant '!$C$35</f>
        <v>28836904.468606003</v>
      </c>
      <c r="H35" s="83">
        <f>H32*'Levellized Salt Refinery Plant '!$C$35</f>
        <v>61278421.995787755</v>
      </c>
      <c r="I35" s="83">
        <f>I32*'Levellized Salt Refinery Plant '!$C$35</f>
        <v>93719939.522969514</v>
      </c>
      <c r="J35" s="83">
        <f>J32*'Levellized Salt Refinery Plant '!$C$35</f>
        <v>126161457.05015126</v>
      </c>
      <c r="K35" s="83">
        <f>K32*'Levellized Salt Refinery Plant '!$C$35</f>
        <v>158602974.577333</v>
      </c>
      <c r="L35" s="83">
        <f>L32*'Levellized Salt Refinery Plant '!$C$35</f>
        <v>187439879.04593903</v>
      </c>
      <c r="M35" s="83">
        <f>M32*'Levellized Salt Refinery Plant '!$C$35</f>
        <v>216276783.51454502</v>
      </c>
      <c r="N35" s="83">
        <f>N32*'Levellized Salt Refinery Plant '!$C$35</f>
        <v>216276783.51454502</v>
      </c>
      <c r="O35" s="83">
        <f>O32*'Levellized Salt Refinery Plant '!$C$35</f>
        <v>216276783.51454502</v>
      </c>
      <c r="P35" s="83">
        <f>P32*'Levellized Salt Refinery Plant '!$C$35</f>
        <v>216276783.51454502</v>
      </c>
      <c r="Q35" s="83">
        <f>Q32*'Levellized Salt Refinery Plant '!$C$35</f>
        <v>216276783.51454502</v>
      </c>
      <c r="R35" s="83">
        <f>R32*'Levellized Salt Refinery Plant '!$C$35</f>
        <v>216276783.51454502</v>
      </c>
      <c r="S35" s="83">
        <f>S32*'Levellized Salt Refinery Plant '!$C$35</f>
        <v>216276783.51454502</v>
      </c>
      <c r="T35" s="83">
        <f>T32*'Levellized Salt Refinery Plant '!$C$35</f>
        <v>216276783.51454502</v>
      </c>
      <c r="U35" s="83">
        <f>U32*'Levellized Salt Refinery Plant '!$C$35</f>
        <v>216276783.51454502</v>
      </c>
      <c r="V35" s="83">
        <f>V32*'Levellized Salt Refinery Plant '!$C$35</f>
        <v>216276783.51454502</v>
      </c>
      <c r="W35" s="83">
        <f>W32*'Levellized Salt Refinery Plant '!$C$35</f>
        <v>216276783.51454502</v>
      </c>
      <c r="X35" s="83">
        <f>X32*'Levellized Salt Refinery Plant '!$C$35</f>
        <v>216276783.51454502</v>
      </c>
      <c r="Y35" s="83">
        <f>Y32*'Levellized Salt Refinery Plant '!$C$35</f>
        <v>216276783.51454502</v>
      </c>
      <c r="Z35" s="83">
        <f>Z32*'Levellized Salt Refinery Plant '!$C$35</f>
        <v>216276783.51454502</v>
      </c>
      <c r="AA35" s="83">
        <f>AA32*'Levellized Salt Refinery Plant '!$C$35</f>
        <v>216276783.51454502</v>
      </c>
      <c r="AB35" s="83">
        <f>AB32*'Levellized Salt Refinery Plant '!$C$35</f>
        <v>216276783.51454502</v>
      </c>
      <c r="AC35" s="83">
        <f>AC32*'Levellized Salt Refinery Plant '!$C$35</f>
        <v>216276783.51454502</v>
      </c>
      <c r="AD35" s="83">
        <f>AD32*'Levellized Salt Refinery Plant '!$C$35</f>
        <v>216276783.51454502</v>
      </c>
      <c r="AE35" s="83">
        <f>AE32*'Levellized Salt Refinery Plant '!$C$35</f>
        <v>216276783.51454502</v>
      </c>
      <c r="AF35" s="83">
        <f>AF32*'Levellized Salt Refinery Plant '!$C$35</f>
        <v>216276783.51454502</v>
      </c>
      <c r="AG35" s="83">
        <f>AG32*'Levellized Salt Refinery Plant '!$C$35</f>
        <v>216276783.51454502</v>
      </c>
      <c r="AH35" s="83">
        <f>AH32*'Levellized Salt Refinery Plant '!$C$35</f>
        <v>216276783.51454502</v>
      </c>
      <c r="AI35" s="83">
        <f>AI32*'Levellized Salt Refinery Plant '!$C$35</f>
        <v>216276783.51454502</v>
      </c>
      <c r="AJ35" s="83">
        <f>AJ32*'Levellized Salt Refinery Plant '!$C$35</f>
        <v>216276783.51454502</v>
      </c>
      <c r="AK35" s="83">
        <f>AK32*'Levellized Salt Refinery Plant '!$C$35</f>
        <v>216276783.51454502</v>
      </c>
      <c r="AL35" s="83">
        <f>AL32*'Levellized Salt Refinery Plant '!$C$35</f>
        <v>216276783.51454502</v>
      </c>
      <c r="AM35" s="83">
        <f>AM32*'Levellized Salt Refinery Plant '!$C$35</f>
        <v>216276783.51454502</v>
      </c>
      <c r="AN35" s="83">
        <f>AN32*'Levellized Salt Refinery Plant '!$C$35</f>
        <v>216276783.51454502</v>
      </c>
      <c r="AO35" s="83">
        <f>AO32*'Levellized Salt Refinery Plant '!$C$35</f>
        <v>216276783.51454502</v>
      </c>
      <c r="AP35" s="83">
        <f>AP32*'Levellized Salt Refinery Plant '!$C$35</f>
        <v>216276783.51454502</v>
      </c>
      <c r="AQ35" s="83">
        <f>AQ32*'Levellized Salt Refinery Plant '!$C$35</f>
        <v>216276783.51454502</v>
      </c>
      <c r="AR35" s="83">
        <f>AR32*'Levellized Salt Refinery Plant '!$C$35</f>
        <v>216276783.51454502</v>
      </c>
      <c r="AS35" s="83">
        <f>AS32*'Levellized Salt Refinery Plant '!$C$35</f>
        <v>216276783.51454502</v>
      </c>
      <c r="AT35" s="83">
        <f>AT32*'Levellized Salt Refinery Plant '!$C$35</f>
        <v>216276783.51454502</v>
      </c>
      <c r="AU35" s="83">
        <f>AU32*'Levellized Salt Refinery Plant '!$C$35</f>
        <v>216276783.51454502</v>
      </c>
      <c r="AV35" s="83">
        <f>AV32*'Levellized Salt Refinery Plant '!$C$35</f>
        <v>216276783.51454502</v>
      </c>
      <c r="AW35" s="83">
        <f>AW32*'Levellized Salt Refinery Plant '!$C$35</f>
        <v>216276783.51454502</v>
      </c>
      <c r="AX35" s="83">
        <f>AX32*'Levellized Salt Refinery Plant '!$C$35</f>
        <v>216276783.51454502</v>
      </c>
      <c r="AY35" s="83">
        <f>AY32*'Levellized Salt Refinery Plant '!$C$35</f>
        <v>216276783.51454502</v>
      </c>
      <c r="AZ35" s="83">
        <f>AZ32*'Levellized Salt Refinery Plant '!$C$35</f>
        <v>216276783.51454502</v>
      </c>
      <c r="BA35" s="83">
        <f>BA32*'Levellized Salt Refinery Plant '!$C$35</f>
        <v>216276783.51454502</v>
      </c>
      <c r="BB35" s="83">
        <f>BB32*'Levellized Salt Refinery Plant '!$C$35</f>
        <v>216276783.51454502</v>
      </c>
      <c r="BC35" s="83">
        <f>BC32*'Levellized Salt Refinery Plant '!$C$35</f>
        <v>216276783.51454502</v>
      </c>
      <c r="BD35" s="83">
        <f>BD32*'Levellized Salt Refinery Plant '!$C$35</f>
        <v>216276783.51454502</v>
      </c>
      <c r="BE35" s="83">
        <f>BE32*'Levellized Salt Refinery Plant '!$C$35</f>
        <v>216276783.51454502</v>
      </c>
      <c r="BF35" s="83">
        <f>BF32*'Levellized Salt Refinery Plant '!$C$35</f>
        <v>216276783.51454502</v>
      </c>
      <c r="BG35" s="83">
        <f>BG32*'Levellized Salt Refinery Plant '!$C$35</f>
        <v>216276783.51454502</v>
      </c>
      <c r="BH35" s="83">
        <f>BH32*'Levellized Salt Refinery Plant '!$C$35</f>
        <v>216276783.51454502</v>
      </c>
      <c r="BI35" s="83"/>
    </row>
    <row r="36" spans="1:61" s="82" customFormat="1" x14ac:dyDescent="0.2">
      <c r="A36" s="82" t="s">
        <v>731</v>
      </c>
      <c r="B36" s="156"/>
      <c r="C36" s="83">
        <f>C32*'Levellized Salt Refinery Plant '!$C$47</f>
        <v>0</v>
      </c>
      <c r="D36" s="83">
        <f>D32*'Levellized Salt Refinery Plant '!$C$47</f>
        <v>0</v>
      </c>
      <c r="E36" s="83">
        <f>E32*'Levellized Salt Refinery Plant '!$C$47</f>
        <v>0</v>
      </c>
      <c r="F36" s="83">
        <f>F32*'Levellized Salt Refinery Plant '!$C$47</f>
        <v>0</v>
      </c>
      <c r="G36" s="83">
        <f>G32*'Levellized Salt Refinery Plant '!$C$47</f>
        <v>5803430.8686060002</v>
      </c>
      <c r="H36" s="83">
        <f>H32*'Levellized Salt Refinery Plant '!$C$47</f>
        <v>12332290.595787751</v>
      </c>
      <c r="I36" s="83">
        <f>I32*'Levellized Salt Refinery Plant '!$C$47</f>
        <v>18861150.3229695</v>
      </c>
      <c r="J36" s="83">
        <f>J32*'Levellized Salt Refinery Plant '!$C$47</f>
        <v>25390010.050151251</v>
      </c>
      <c r="K36" s="83">
        <f>K32*'Levellized Salt Refinery Plant '!$C$47</f>
        <v>31918869.777333003</v>
      </c>
      <c r="L36" s="83">
        <f>L32*'Levellized Salt Refinery Plant '!$C$47</f>
        <v>37722300.645939</v>
      </c>
      <c r="M36" s="83">
        <f>M32*'Levellized Salt Refinery Plant '!$C$47</f>
        <v>43525731.514545001</v>
      </c>
      <c r="N36" s="83">
        <f>N32*'Levellized Salt Refinery Plant '!$C$47</f>
        <v>43525731.514545001</v>
      </c>
      <c r="O36" s="83">
        <f>O32*'Levellized Salt Refinery Plant '!$C$47</f>
        <v>43525731.514545001</v>
      </c>
      <c r="P36" s="83">
        <f>P32*'Levellized Salt Refinery Plant '!$C$47</f>
        <v>43525731.514545001</v>
      </c>
      <c r="Q36" s="83">
        <f>Q32*'Levellized Salt Refinery Plant '!$C$47</f>
        <v>43525731.514545001</v>
      </c>
      <c r="R36" s="83">
        <f>R32*'Levellized Salt Refinery Plant '!$C$47</f>
        <v>43525731.514545001</v>
      </c>
      <c r="S36" s="83">
        <f>S32*'Levellized Salt Refinery Plant '!$C$47</f>
        <v>43525731.514545001</v>
      </c>
      <c r="T36" s="83">
        <f>T32*'Levellized Salt Refinery Plant '!$C$47</f>
        <v>43525731.514545001</v>
      </c>
      <c r="U36" s="83">
        <f>U32*'Levellized Salt Refinery Plant '!$C$47</f>
        <v>43525731.514545001</v>
      </c>
      <c r="V36" s="83">
        <f>V32*'Levellized Salt Refinery Plant '!$C$47</f>
        <v>43525731.514545001</v>
      </c>
      <c r="W36" s="83">
        <f>W32*'Levellized Salt Refinery Plant '!$C$47</f>
        <v>43525731.514545001</v>
      </c>
      <c r="X36" s="83">
        <f>X32*'Levellized Salt Refinery Plant '!$C$47</f>
        <v>43525731.514545001</v>
      </c>
      <c r="Y36" s="83">
        <f>Y32*'Levellized Salt Refinery Plant '!$C$47</f>
        <v>43525731.514545001</v>
      </c>
      <c r="Z36" s="83">
        <f>Z32*'Levellized Salt Refinery Plant '!$C$47</f>
        <v>43525731.514545001</v>
      </c>
      <c r="AA36" s="83">
        <f>AA32*'Levellized Salt Refinery Plant '!$C$47</f>
        <v>43525731.514545001</v>
      </c>
      <c r="AB36" s="83">
        <f>AB32*'Levellized Salt Refinery Plant '!$C$47</f>
        <v>43525731.514545001</v>
      </c>
      <c r="AC36" s="83">
        <f>AC32*'Levellized Salt Refinery Plant '!$C$47</f>
        <v>43525731.514545001</v>
      </c>
      <c r="AD36" s="83">
        <f>AD32*'Levellized Salt Refinery Plant '!$C$47</f>
        <v>43525731.514545001</v>
      </c>
      <c r="AE36" s="83">
        <f>AE32*'Levellized Salt Refinery Plant '!$C$47</f>
        <v>43525731.514545001</v>
      </c>
      <c r="AF36" s="83">
        <f>AF32*'Levellized Salt Refinery Plant '!$C$47</f>
        <v>43525731.514545001</v>
      </c>
      <c r="AG36" s="83">
        <f>AG32*'Levellized Salt Refinery Plant '!$C$47</f>
        <v>43525731.514545001</v>
      </c>
      <c r="AH36" s="83">
        <f>AH32*'Levellized Salt Refinery Plant '!$C$47</f>
        <v>43525731.514545001</v>
      </c>
      <c r="AI36" s="83">
        <f>AI32*'Levellized Salt Refinery Plant '!$C$47</f>
        <v>43525731.514545001</v>
      </c>
      <c r="AJ36" s="83">
        <f>AJ32*'Levellized Salt Refinery Plant '!$C$47</f>
        <v>43525731.514545001</v>
      </c>
      <c r="AK36" s="83">
        <f>AK32*'Levellized Salt Refinery Plant '!$C$47</f>
        <v>43525731.514545001</v>
      </c>
      <c r="AL36" s="83">
        <f>AL32*'Levellized Salt Refinery Plant '!$C$47</f>
        <v>43525731.514545001</v>
      </c>
      <c r="AM36" s="83">
        <f>AM32*'Levellized Salt Refinery Plant '!$C$47</f>
        <v>43525731.514545001</v>
      </c>
      <c r="AN36" s="83">
        <f>AN32*'Levellized Salt Refinery Plant '!$C$47</f>
        <v>43525731.514545001</v>
      </c>
      <c r="AO36" s="83">
        <f>AO32*'Levellized Salt Refinery Plant '!$C$47</f>
        <v>43525731.514545001</v>
      </c>
      <c r="AP36" s="83">
        <f>AP32*'Levellized Salt Refinery Plant '!$C$47</f>
        <v>43525731.514545001</v>
      </c>
      <c r="AQ36" s="83">
        <f>AQ32*'Levellized Salt Refinery Plant '!$C$47</f>
        <v>43525731.514545001</v>
      </c>
      <c r="AR36" s="83">
        <f>AR32*'Levellized Salt Refinery Plant '!$C$47</f>
        <v>43525731.514545001</v>
      </c>
      <c r="AS36" s="83">
        <f>AS32*'Levellized Salt Refinery Plant '!$C$47</f>
        <v>43525731.514545001</v>
      </c>
      <c r="AT36" s="83">
        <f>AT32*'Levellized Salt Refinery Plant '!$C$47</f>
        <v>43525731.514545001</v>
      </c>
      <c r="AU36" s="83">
        <f>AU32*'Levellized Salt Refinery Plant '!$C$47</f>
        <v>43525731.514545001</v>
      </c>
      <c r="AV36" s="83">
        <f>AV32*'Levellized Salt Refinery Plant '!$C$47</f>
        <v>43525731.514545001</v>
      </c>
      <c r="AW36" s="83">
        <f>AW32*'Levellized Salt Refinery Plant '!$C$47</f>
        <v>43525731.514545001</v>
      </c>
      <c r="AX36" s="83">
        <f>AX32*'Levellized Salt Refinery Plant '!$C$47</f>
        <v>43525731.514545001</v>
      </c>
      <c r="AY36" s="83">
        <f>AY32*'Levellized Salt Refinery Plant '!$C$47</f>
        <v>43525731.514545001</v>
      </c>
      <c r="AZ36" s="83">
        <f>AZ32*'Levellized Salt Refinery Plant '!$C$47</f>
        <v>43525731.514545001</v>
      </c>
      <c r="BA36" s="83">
        <f>BA32*'Levellized Salt Refinery Plant '!$C$47</f>
        <v>43525731.514545001</v>
      </c>
      <c r="BB36" s="83">
        <f>BB32*'Levellized Salt Refinery Plant '!$C$47</f>
        <v>43525731.514545001</v>
      </c>
      <c r="BC36" s="83">
        <f>BC32*'Levellized Salt Refinery Plant '!$C$47</f>
        <v>43525731.514545001</v>
      </c>
      <c r="BD36" s="83">
        <f>BD32*'Levellized Salt Refinery Plant '!$C$47</f>
        <v>43525731.514545001</v>
      </c>
      <c r="BE36" s="83">
        <f>BE32*'Levellized Salt Refinery Plant '!$C$47</f>
        <v>43525731.514545001</v>
      </c>
      <c r="BF36" s="83">
        <f>BF32*'Levellized Salt Refinery Plant '!$C$47</f>
        <v>43525731.514545001</v>
      </c>
      <c r="BG36" s="83">
        <f>BG32*'Levellized Salt Refinery Plant '!$C$47</f>
        <v>43525731.514545001</v>
      </c>
      <c r="BH36" s="83">
        <f>BH32*'Levellized Salt Refinery Plant '!$C$47</f>
        <v>43525731.514545001</v>
      </c>
      <c r="BI36" s="83"/>
    </row>
    <row r="37" spans="1:61" x14ac:dyDescent="0.2">
      <c r="A37" t="s">
        <v>834</v>
      </c>
      <c r="B37" s="112">
        <v>4.3499999999999996</v>
      </c>
      <c r="C37" s="103">
        <v>200</v>
      </c>
      <c r="D37" s="10">
        <f xml:space="preserve"> C37 + $B37</f>
        <v>204.35</v>
      </c>
      <c r="E37" s="10">
        <f t="shared" ref="E37:AO37" si="70" xml:space="preserve"> D37 + $B37</f>
        <v>208.7</v>
      </c>
      <c r="F37" s="10">
        <f t="shared" si="70"/>
        <v>213.04999999999998</v>
      </c>
      <c r="G37" s="10">
        <f t="shared" si="70"/>
        <v>217.39999999999998</v>
      </c>
      <c r="H37" s="10">
        <f t="shared" si="70"/>
        <v>221.74999999999997</v>
      </c>
      <c r="I37" s="10">
        <f t="shared" si="70"/>
        <v>226.09999999999997</v>
      </c>
      <c r="J37" s="10">
        <f t="shared" si="70"/>
        <v>230.44999999999996</v>
      </c>
      <c r="K37" s="10">
        <f t="shared" si="70"/>
        <v>234.79999999999995</v>
      </c>
      <c r="L37" s="10">
        <f t="shared" si="70"/>
        <v>239.14999999999995</v>
      </c>
      <c r="M37" s="10">
        <f t="shared" si="70"/>
        <v>243.49999999999994</v>
      </c>
      <c r="N37" s="10">
        <f t="shared" si="70"/>
        <v>247.84999999999994</v>
      </c>
      <c r="O37" s="10">
        <f t="shared" si="70"/>
        <v>252.19999999999993</v>
      </c>
      <c r="P37" s="10">
        <f t="shared" si="70"/>
        <v>256.54999999999995</v>
      </c>
      <c r="Q37" s="10">
        <f t="shared" si="70"/>
        <v>260.89999999999998</v>
      </c>
      <c r="R37" s="10">
        <f t="shared" si="70"/>
        <v>265.25</v>
      </c>
      <c r="S37" s="10">
        <f t="shared" si="70"/>
        <v>269.60000000000002</v>
      </c>
      <c r="T37" s="10">
        <f t="shared" si="70"/>
        <v>273.95000000000005</v>
      </c>
      <c r="U37" s="10">
        <f t="shared" si="70"/>
        <v>278.30000000000007</v>
      </c>
      <c r="V37" s="10">
        <f t="shared" si="70"/>
        <v>282.65000000000009</v>
      </c>
      <c r="W37" s="10">
        <f t="shared" si="70"/>
        <v>287.00000000000011</v>
      </c>
      <c r="X37" s="10">
        <f t="shared" si="70"/>
        <v>291.35000000000014</v>
      </c>
      <c r="Y37" s="10">
        <f t="shared" si="70"/>
        <v>295.70000000000016</v>
      </c>
      <c r="Z37" s="10">
        <f t="shared" si="70"/>
        <v>300.05000000000018</v>
      </c>
      <c r="AA37" s="10">
        <f t="shared" si="70"/>
        <v>304.4000000000002</v>
      </c>
      <c r="AB37" s="10">
        <f t="shared" si="70"/>
        <v>308.75000000000023</v>
      </c>
      <c r="AC37" s="10">
        <f t="shared" si="70"/>
        <v>313.10000000000025</v>
      </c>
      <c r="AD37" s="10">
        <f t="shared" si="70"/>
        <v>317.45000000000027</v>
      </c>
      <c r="AE37" s="10">
        <f t="shared" si="70"/>
        <v>321.8000000000003</v>
      </c>
      <c r="AF37" s="10">
        <f t="shared" si="70"/>
        <v>326.15000000000032</v>
      </c>
      <c r="AG37" s="10">
        <f t="shared" si="70"/>
        <v>330.50000000000034</v>
      </c>
      <c r="AH37" s="10">
        <f t="shared" si="70"/>
        <v>334.85000000000036</v>
      </c>
      <c r="AI37" s="10">
        <f t="shared" si="70"/>
        <v>339.20000000000039</v>
      </c>
      <c r="AJ37" s="10">
        <f t="shared" si="70"/>
        <v>343.55000000000041</v>
      </c>
      <c r="AK37" s="10">
        <f t="shared" si="70"/>
        <v>347.90000000000043</v>
      </c>
      <c r="AL37" s="10">
        <f t="shared" si="70"/>
        <v>352.25000000000045</v>
      </c>
      <c r="AM37" s="10">
        <f t="shared" si="70"/>
        <v>356.60000000000048</v>
      </c>
      <c r="AN37" s="10">
        <f t="shared" si="70"/>
        <v>360.9500000000005</v>
      </c>
      <c r="AO37" s="10">
        <f t="shared" si="70"/>
        <v>365.30000000000052</v>
      </c>
      <c r="AP37" s="10">
        <f t="shared" ref="AP37" si="71" xml:space="preserve"> AO37 + $B37</f>
        <v>369.65000000000055</v>
      </c>
      <c r="AQ37" s="10">
        <f t="shared" ref="AQ37" si="72" xml:space="preserve"> AP37 + $B37</f>
        <v>374.00000000000057</v>
      </c>
      <c r="AR37" s="10">
        <f t="shared" ref="AR37" si="73" xml:space="preserve"> AQ37 + $B37</f>
        <v>378.35000000000059</v>
      </c>
      <c r="AS37" s="10">
        <f t="shared" ref="AS37" si="74" xml:space="preserve"> AR37 + $B37</f>
        <v>382.70000000000061</v>
      </c>
      <c r="AT37" s="10">
        <f t="shared" ref="AT37" si="75" xml:space="preserve"> AS37 + $B37</f>
        <v>387.05000000000064</v>
      </c>
      <c r="AU37" s="10">
        <f t="shared" ref="AU37" si="76" xml:space="preserve"> AT37 + $B37</f>
        <v>391.40000000000066</v>
      </c>
      <c r="AV37" s="10">
        <f t="shared" ref="AV37" si="77" xml:space="preserve"> AU37 + $B37</f>
        <v>395.75000000000068</v>
      </c>
      <c r="AW37" s="10">
        <f t="shared" ref="AW37" si="78" xml:space="preserve"> AV37 + $B37</f>
        <v>400.1000000000007</v>
      </c>
      <c r="AX37" s="10">
        <f t="shared" ref="AX37" si="79" xml:space="preserve"> AW37 + $B37</f>
        <v>404.45000000000073</v>
      </c>
      <c r="AY37" s="10">
        <f t="shared" ref="AY37" si="80" xml:space="preserve"> AX37 + $B37</f>
        <v>408.80000000000075</v>
      </c>
      <c r="AZ37" s="10">
        <f t="shared" ref="AZ37" si="81" xml:space="preserve"> AY37 + $B37</f>
        <v>413.15000000000077</v>
      </c>
      <c r="BA37" s="10">
        <f t="shared" ref="BA37" si="82" xml:space="preserve"> AZ37 + $B37</f>
        <v>417.5000000000008</v>
      </c>
      <c r="BB37" s="10">
        <f t="shared" ref="BB37" si="83" xml:space="preserve"> BA37 + $B37</f>
        <v>421.85000000000082</v>
      </c>
      <c r="BC37" s="10">
        <f t="shared" ref="BC37" si="84" xml:space="preserve"> BB37 + $B37</f>
        <v>426.20000000000084</v>
      </c>
      <c r="BD37" s="10">
        <f t="shared" ref="BD37" si="85" xml:space="preserve"> BC37 + $B37</f>
        <v>430.55000000000086</v>
      </c>
      <c r="BE37" s="10">
        <f t="shared" ref="BE37" si="86" xml:space="preserve"> BD37 + $B37</f>
        <v>434.90000000000089</v>
      </c>
      <c r="BF37" s="10">
        <f t="shared" ref="BF37" si="87" xml:space="preserve"> BE37 + $B37</f>
        <v>439.25000000000091</v>
      </c>
      <c r="BG37" s="10">
        <f t="shared" ref="BG37:BH37" si="88" xml:space="preserve"> BF37 + $B37</f>
        <v>443.60000000000093</v>
      </c>
      <c r="BH37" s="10">
        <f t="shared" si="88"/>
        <v>447.95000000000095</v>
      </c>
      <c r="BI37" s="10"/>
    </row>
    <row r="38" spans="1:61" s="84" customFormat="1" x14ac:dyDescent="0.2">
      <c r="A38" s="84" t="s">
        <v>19</v>
      </c>
      <c r="B38" s="158"/>
      <c r="C38" s="85">
        <f t="shared" ref="C38:AM38" si="89">C33*C37</f>
        <v>0</v>
      </c>
      <c r="D38" s="85">
        <f t="shared" si="89"/>
        <v>0</v>
      </c>
      <c r="E38" s="85">
        <f t="shared" si="89"/>
        <v>0</v>
      </c>
      <c r="F38" s="85">
        <f t="shared" si="89"/>
        <v>0</v>
      </c>
      <c r="G38" s="85">
        <f t="shared" si="89"/>
        <v>150766899.99999997</v>
      </c>
      <c r="H38" s="85">
        <f t="shared" si="89"/>
        <v>326790203.12499994</v>
      </c>
      <c r="I38" s="85">
        <f t="shared" si="89"/>
        <v>509601137.49999994</v>
      </c>
      <c r="J38" s="85">
        <f>J33*J37</f>
        <v>699199703.12499988</v>
      </c>
      <c r="K38" s="85">
        <f t="shared" si="89"/>
        <v>895585899.99999988</v>
      </c>
      <c r="L38" s="85">
        <f t="shared" si="89"/>
        <v>1078028412.4999998</v>
      </c>
      <c r="M38" s="85">
        <f t="shared" si="89"/>
        <v>1266504374.9999998</v>
      </c>
      <c r="N38" s="85">
        <f t="shared" si="89"/>
        <v>1289129812.4999998</v>
      </c>
      <c r="O38" s="85">
        <f t="shared" si="89"/>
        <v>1311755249.9999998</v>
      </c>
      <c r="P38" s="85">
        <f t="shared" si="89"/>
        <v>1334380687.4999998</v>
      </c>
      <c r="Q38" s="85">
        <f t="shared" si="89"/>
        <v>1357006125</v>
      </c>
      <c r="R38" s="85">
        <f t="shared" si="89"/>
        <v>1379631562.5</v>
      </c>
      <c r="S38" s="85">
        <f t="shared" si="89"/>
        <v>1402257000</v>
      </c>
      <c r="T38" s="85">
        <f t="shared" si="89"/>
        <v>1424882437.5000002</v>
      </c>
      <c r="U38" s="85">
        <f t="shared" si="89"/>
        <v>1447507875.0000002</v>
      </c>
      <c r="V38" s="85">
        <f t="shared" si="89"/>
        <v>1470133312.5000005</v>
      </c>
      <c r="W38" s="85">
        <f t="shared" si="89"/>
        <v>1492758750.0000005</v>
      </c>
      <c r="X38" s="85">
        <f t="shared" si="89"/>
        <v>1515384187.5000007</v>
      </c>
      <c r="Y38" s="85">
        <f t="shared" si="89"/>
        <v>1538009625.0000007</v>
      </c>
      <c r="Z38" s="85">
        <f t="shared" si="89"/>
        <v>1560635062.500001</v>
      </c>
      <c r="AA38" s="85">
        <f t="shared" si="89"/>
        <v>1583260500.000001</v>
      </c>
      <c r="AB38" s="85">
        <f t="shared" si="89"/>
        <v>1605885937.5000012</v>
      </c>
      <c r="AC38" s="85">
        <f t="shared" si="89"/>
        <v>1628511375.0000012</v>
      </c>
      <c r="AD38" s="85">
        <f t="shared" si="89"/>
        <v>1651136812.5000014</v>
      </c>
      <c r="AE38" s="85">
        <f t="shared" si="89"/>
        <v>1673762250.0000014</v>
      </c>
      <c r="AF38" s="85">
        <f t="shared" si="89"/>
        <v>1696387687.5000017</v>
      </c>
      <c r="AG38" s="85">
        <f t="shared" si="89"/>
        <v>1719013125.0000017</v>
      </c>
      <c r="AH38" s="85">
        <f t="shared" si="89"/>
        <v>1741638562.5000019</v>
      </c>
      <c r="AI38" s="85">
        <f t="shared" si="89"/>
        <v>1764264000.0000019</v>
      </c>
      <c r="AJ38" s="85">
        <f t="shared" si="89"/>
        <v>1786889437.5000021</v>
      </c>
      <c r="AK38" s="85">
        <f t="shared" si="89"/>
        <v>1809514875.0000021</v>
      </c>
      <c r="AL38" s="85">
        <f t="shared" si="89"/>
        <v>1832140312.5000024</v>
      </c>
      <c r="AM38" s="85">
        <f t="shared" si="89"/>
        <v>1854765750.0000024</v>
      </c>
      <c r="AN38" s="85">
        <f t="shared" ref="AN38:AP38" si="90">AN33*AN37</f>
        <v>1877391187.5000026</v>
      </c>
      <c r="AO38" s="85">
        <f t="shared" si="90"/>
        <v>1900016625.0000026</v>
      </c>
      <c r="AP38" s="85">
        <f t="shared" si="90"/>
        <v>1922642062.5000029</v>
      </c>
      <c r="AQ38" s="85">
        <f t="shared" ref="AQ38:AS38" si="91">AQ33*AQ37</f>
        <v>1945267500.0000029</v>
      </c>
      <c r="AR38" s="85">
        <f t="shared" si="91"/>
        <v>1967892937.5000031</v>
      </c>
      <c r="AS38" s="85">
        <f t="shared" si="91"/>
        <v>1990518375.0000031</v>
      </c>
      <c r="AT38" s="85">
        <f t="shared" ref="AT38:AY38" si="92">AT33*AT37</f>
        <v>2013143812.5000033</v>
      </c>
      <c r="AU38" s="85">
        <f t="shared" si="92"/>
        <v>2035769250.0000033</v>
      </c>
      <c r="AV38" s="85">
        <f t="shared" si="92"/>
        <v>2058394687.5000036</v>
      </c>
      <c r="AW38" s="85">
        <f t="shared" si="92"/>
        <v>2081020125.0000036</v>
      </c>
      <c r="AX38" s="85">
        <f t="shared" si="92"/>
        <v>2103645562.5000038</v>
      </c>
      <c r="AY38" s="85">
        <f t="shared" si="92"/>
        <v>2126271000.0000038</v>
      </c>
      <c r="AZ38" s="85">
        <f t="shared" ref="AZ38:BE38" si="93">AZ33*AZ37</f>
        <v>2148896437.5000038</v>
      </c>
      <c r="BA38" s="85">
        <f t="shared" si="93"/>
        <v>2171521875.0000043</v>
      </c>
      <c r="BB38" s="85">
        <f t="shared" si="93"/>
        <v>2194147312.5000043</v>
      </c>
      <c r="BC38" s="85">
        <f t="shared" si="93"/>
        <v>2216772750.0000043</v>
      </c>
      <c r="BD38" s="85">
        <f t="shared" si="93"/>
        <v>2239398187.5000043</v>
      </c>
      <c r="BE38" s="85">
        <f t="shared" si="93"/>
        <v>2262023625.0000048</v>
      </c>
      <c r="BF38" s="85">
        <f t="shared" ref="BF38:BG38" si="94">BF33*BF37</f>
        <v>2284649062.5000048</v>
      </c>
      <c r="BG38" s="85">
        <f t="shared" si="94"/>
        <v>2307274500.0000048</v>
      </c>
      <c r="BH38" s="85">
        <f t="shared" ref="BH38" si="95">BH33*BH37</f>
        <v>2329899937.5000048</v>
      </c>
      <c r="BI38" s="85"/>
    </row>
    <row r="39" spans="1:61" x14ac:dyDescent="0.2">
      <c r="B39" s="31"/>
    </row>
    <row r="40" spans="1:61" x14ac:dyDescent="0.2">
      <c r="A40" t="s">
        <v>783</v>
      </c>
      <c r="B40" s="31"/>
      <c r="C40" s="122">
        <f t="shared" ref="C40:AL40" si="96" xml:space="preserve"> D41</f>
        <v>0</v>
      </c>
      <c r="D40" s="122">
        <f t="shared" si="96"/>
        <v>0</v>
      </c>
      <c r="E40" s="122">
        <f t="shared" si="96"/>
        <v>2</v>
      </c>
      <c r="F40" s="122">
        <f t="shared" si="96"/>
        <v>2</v>
      </c>
      <c r="G40" s="122">
        <f t="shared" si="96"/>
        <v>2</v>
      </c>
      <c r="H40" s="122">
        <f t="shared" si="96"/>
        <v>2</v>
      </c>
      <c r="I40" s="122">
        <f t="shared" si="96"/>
        <v>2</v>
      </c>
      <c r="J40" s="122">
        <f t="shared" si="96"/>
        <v>2</v>
      </c>
      <c r="K40" s="122">
        <f t="shared" si="96"/>
        <v>2</v>
      </c>
      <c r="L40" s="122">
        <f t="shared" si="96"/>
        <v>2</v>
      </c>
      <c r="M40" s="122">
        <f t="shared" si="96"/>
        <v>2</v>
      </c>
      <c r="N40" s="122">
        <f t="shared" si="96"/>
        <v>0</v>
      </c>
      <c r="O40" s="122">
        <f t="shared" si="96"/>
        <v>0</v>
      </c>
      <c r="P40" s="122">
        <f t="shared" si="96"/>
        <v>0</v>
      </c>
      <c r="Q40" s="122">
        <f t="shared" si="96"/>
        <v>0</v>
      </c>
      <c r="R40" s="122">
        <f t="shared" si="96"/>
        <v>0</v>
      </c>
      <c r="S40" s="122">
        <f t="shared" si="96"/>
        <v>0</v>
      </c>
      <c r="T40" s="122">
        <f t="shared" si="96"/>
        <v>0</v>
      </c>
      <c r="U40" s="122">
        <f t="shared" si="96"/>
        <v>0</v>
      </c>
      <c r="V40" s="122">
        <f t="shared" si="96"/>
        <v>0</v>
      </c>
      <c r="W40" s="122">
        <f t="shared" si="96"/>
        <v>0</v>
      </c>
      <c r="X40" s="122">
        <f t="shared" si="96"/>
        <v>0</v>
      </c>
      <c r="Y40" s="122">
        <f t="shared" si="96"/>
        <v>0</v>
      </c>
      <c r="Z40" s="122">
        <f t="shared" si="96"/>
        <v>0</v>
      </c>
      <c r="AA40" s="122">
        <f t="shared" si="96"/>
        <v>0</v>
      </c>
      <c r="AB40" s="122">
        <f t="shared" si="96"/>
        <v>0</v>
      </c>
      <c r="AC40" s="122">
        <f t="shared" si="96"/>
        <v>0</v>
      </c>
      <c r="AD40" s="122">
        <f t="shared" si="96"/>
        <v>0</v>
      </c>
      <c r="AE40" s="122">
        <f t="shared" si="96"/>
        <v>0</v>
      </c>
      <c r="AF40" s="122">
        <f t="shared" si="96"/>
        <v>0</v>
      </c>
      <c r="AG40" s="122">
        <f t="shared" si="96"/>
        <v>0</v>
      </c>
      <c r="AH40" s="122">
        <f t="shared" si="96"/>
        <v>0</v>
      </c>
      <c r="AI40" s="122">
        <f t="shared" si="96"/>
        <v>0</v>
      </c>
      <c r="AJ40" s="122">
        <f t="shared" si="96"/>
        <v>0</v>
      </c>
      <c r="AK40" s="122">
        <f t="shared" si="96"/>
        <v>0</v>
      </c>
      <c r="AL40" s="122">
        <f t="shared" si="96"/>
        <v>0</v>
      </c>
      <c r="AM40" s="122">
        <f t="shared" ref="AM40:BH40" si="97" xml:space="preserve"> BI41</f>
        <v>0</v>
      </c>
      <c r="AN40" s="122">
        <f t="shared" si="97"/>
        <v>0</v>
      </c>
      <c r="AO40" s="122">
        <f t="shared" si="97"/>
        <v>0</v>
      </c>
      <c r="AP40" s="122">
        <f t="shared" si="97"/>
        <v>0</v>
      </c>
      <c r="AQ40" s="122">
        <f t="shared" si="97"/>
        <v>0</v>
      </c>
      <c r="AR40" s="122">
        <f t="shared" si="97"/>
        <v>0</v>
      </c>
      <c r="AS40" s="122">
        <f t="shared" si="97"/>
        <v>0</v>
      </c>
      <c r="AT40" s="122">
        <f t="shared" si="97"/>
        <v>0</v>
      </c>
      <c r="AU40" s="122">
        <f t="shared" si="97"/>
        <v>0</v>
      </c>
      <c r="AV40" s="122">
        <f t="shared" si="97"/>
        <v>0</v>
      </c>
      <c r="AW40" s="122">
        <f t="shared" si="97"/>
        <v>0</v>
      </c>
      <c r="AX40" s="122">
        <f t="shared" si="97"/>
        <v>0</v>
      </c>
      <c r="AY40" s="122">
        <f t="shared" si="97"/>
        <v>0</v>
      </c>
      <c r="AZ40" s="122">
        <f t="shared" si="97"/>
        <v>0</v>
      </c>
      <c r="BA40" s="122">
        <f t="shared" si="97"/>
        <v>0</v>
      </c>
      <c r="BB40" s="122">
        <f t="shared" si="97"/>
        <v>0</v>
      </c>
      <c r="BC40" s="122">
        <f t="shared" si="97"/>
        <v>0</v>
      </c>
      <c r="BD40" s="122">
        <f t="shared" si="97"/>
        <v>0</v>
      </c>
      <c r="BE40" s="122">
        <f t="shared" si="97"/>
        <v>0</v>
      </c>
      <c r="BF40" s="122">
        <f t="shared" si="97"/>
        <v>0</v>
      </c>
      <c r="BG40" s="122">
        <f t="shared" si="97"/>
        <v>0</v>
      </c>
      <c r="BH40" s="122">
        <f t="shared" si="97"/>
        <v>0</v>
      </c>
    </row>
    <row r="41" spans="1:61" x14ac:dyDescent="0.2">
      <c r="A41" t="s">
        <v>784</v>
      </c>
      <c r="B41" s="31"/>
      <c r="C41" s="122">
        <f t="shared" ref="C41:AL41" si="98" xml:space="preserve"> D42-C42</f>
        <v>0</v>
      </c>
      <c r="D41" s="122">
        <f t="shared" si="98"/>
        <v>0</v>
      </c>
      <c r="E41" s="122">
        <f t="shared" si="98"/>
        <v>0</v>
      </c>
      <c r="F41" s="122">
        <f t="shared" si="98"/>
        <v>2</v>
      </c>
      <c r="G41" s="122">
        <f t="shared" si="98"/>
        <v>2</v>
      </c>
      <c r="H41" s="122">
        <f t="shared" si="98"/>
        <v>2</v>
      </c>
      <c r="I41" s="122">
        <f t="shared" si="98"/>
        <v>2</v>
      </c>
      <c r="J41" s="122">
        <f t="shared" si="98"/>
        <v>2</v>
      </c>
      <c r="K41" s="122">
        <f t="shared" si="98"/>
        <v>2</v>
      </c>
      <c r="L41" s="122">
        <f t="shared" si="98"/>
        <v>2</v>
      </c>
      <c r="M41" s="122">
        <f t="shared" si="98"/>
        <v>2</v>
      </c>
      <c r="N41" s="122">
        <f t="shared" si="98"/>
        <v>2</v>
      </c>
      <c r="O41" s="122">
        <f t="shared" si="98"/>
        <v>0</v>
      </c>
      <c r="P41" s="122">
        <f t="shared" si="98"/>
        <v>0</v>
      </c>
      <c r="Q41" s="122">
        <f t="shared" si="98"/>
        <v>0</v>
      </c>
      <c r="R41" s="122">
        <f t="shared" si="98"/>
        <v>0</v>
      </c>
      <c r="S41" s="122">
        <f t="shared" si="98"/>
        <v>0</v>
      </c>
      <c r="T41" s="122">
        <f t="shared" si="98"/>
        <v>0</v>
      </c>
      <c r="U41" s="122">
        <f t="shared" si="98"/>
        <v>0</v>
      </c>
      <c r="V41" s="122">
        <f t="shared" si="98"/>
        <v>0</v>
      </c>
      <c r="W41" s="122">
        <f t="shared" si="98"/>
        <v>0</v>
      </c>
      <c r="X41" s="122">
        <f t="shared" si="98"/>
        <v>0</v>
      </c>
      <c r="Y41" s="122">
        <f t="shared" si="98"/>
        <v>0</v>
      </c>
      <c r="Z41" s="122">
        <f t="shared" si="98"/>
        <v>0</v>
      </c>
      <c r="AA41" s="122">
        <f t="shared" si="98"/>
        <v>0</v>
      </c>
      <c r="AB41" s="122">
        <f t="shared" si="98"/>
        <v>0</v>
      </c>
      <c r="AC41" s="122">
        <f t="shared" si="98"/>
        <v>0</v>
      </c>
      <c r="AD41" s="122">
        <f t="shared" si="98"/>
        <v>0</v>
      </c>
      <c r="AE41" s="122">
        <f t="shared" si="98"/>
        <v>0</v>
      </c>
      <c r="AF41" s="122">
        <f t="shared" si="98"/>
        <v>0</v>
      </c>
      <c r="AG41" s="122">
        <f t="shared" si="98"/>
        <v>0</v>
      </c>
      <c r="AH41" s="122">
        <f t="shared" si="98"/>
        <v>0</v>
      </c>
      <c r="AI41" s="122">
        <f t="shared" si="98"/>
        <v>0</v>
      </c>
      <c r="AJ41" s="122">
        <f t="shared" si="98"/>
        <v>0</v>
      </c>
      <c r="AK41" s="122">
        <f t="shared" si="98"/>
        <v>0</v>
      </c>
      <c r="AL41" s="122">
        <f t="shared" si="98"/>
        <v>0</v>
      </c>
      <c r="AM41" s="122">
        <v>0</v>
      </c>
      <c r="AN41" s="122">
        <v>0</v>
      </c>
      <c r="AO41" s="122">
        <v>0</v>
      </c>
      <c r="AP41" s="122">
        <v>0</v>
      </c>
      <c r="AQ41" s="122">
        <v>0</v>
      </c>
      <c r="AR41" s="122">
        <v>0</v>
      </c>
      <c r="AS41" s="122">
        <v>0</v>
      </c>
      <c r="AT41" s="122">
        <v>0</v>
      </c>
      <c r="AU41" s="122">
        <v>0</v>
      </c>
      <c r="AV41" s="122">
        <v>0</v>
      </c>
      <c r="AW41" s="122">
        <v>0</v>
      </c>
      <c r="AX41" s="122">
        <v>0</v>
      </c>
      <c r="AY41" s="122">
        <v>0</v>
      </c>
      <c r="AZ41" s="122">
        <v>0</v>
      </c>
      <c r="BA41" s="122">
        <v>0</v>
      </c>
      <c r="BB41" s="122">
        <v>0</v>
      </c>
      <c r="BC41" s="122">
        <v>0</v>
      </c>
      <c r="BD41" s="122">
        <v>0</v>
      </c>
      <c r="BE41" s="122">
        <v>0</v>
      </c>
      <c r="BF41" s="122">
        <v>0</v>
      </c>
      <c r="BG41" s="122">
        <v>0</v>
      </c>
      <c r="BH41" s="122">
        <v>0</v>
      </c>
    </row>
    <row r="42" spans="1:61" x14ac:dyDescent="0.2">
      <c r="A42" t="s">
        <v>840</v>
      </c>
      <c r="B42" s="21">
        <v>18</v>
      </c>
      <c r="C42">
        <f>IF(C$1&gt;=$C$1+4,IF(2*(C$1-$C$1-3)&gt;$B42,$B42,2*(C$1-$C$1-3)),0)</f>
        <v>0</v>
      </c>
      <c r="D42">
        <f t="shared" ref="D42:BH42" si="99">IF(D$1&gt;=$C$1+4,IF(2*(D$1-$C$1-3)&gt;$B42,$B42,2*(D$1-$C$1-3)),0)</f>
        <v>0</v>
      </c>
      <c r="E42">
        <f t="shared" si="99"/>
        <v>0</v>
      </c>
      <c r="F42">
        <f t="shared" si="99"/>
        <v>0</v>
      </c>
      <c r="G42">
        <f t="shared" si="99"/>
        <v>2</v>
      </c>
      <c r="H42">
        <f t="shared" si="99"/>
        <v>4</v>
      </c>
      <c r="I42">
        <f t="shared" si="99"/>
        <v>6</v>
      </c>
      <c r="J42">
        <f t="shared" si="99"/>
        <v>8</v>
      </c>
      <c r="K42">
        <f t="shared" si="99"/>
        <v>10</v>
      </c>
      <c r="L42">
        <f t="shared" si="99"/>
        <v>12</v>
      </c>
      <c r="M42">
        <f t="shared" si="99"/>
        <v>14</v>
      </c>
      <c r="N42">
        <f t="shared" si="99"/>
        <v>16</v>
      </c>
      <c r="O42">
        <f t="shared" si="99"/>
        <v>18</v>
      </c>
      <c r="P42">
        <f t="shared" si="99"/>
        <v>18</v>
      </c>
      <c r="Q42">
        <f t="shared" si="99"/>
        <v>18</v>
      </c>
      <c r="R42">
        <f t="shared" si="99"/>
        <v>18</v>
      </c>
      <c r="S42">
        <f t="shared" si="99"/>
        <v>18</v>
      </c>
      <c r="T42">
        <f t="shared" si="99"/>
        <v>18</v>
      </c>
      <c r="U42">
        <f t="shared" si="99"/>
        <v>18</v>
      </c>
      <c r="V42">
        <f t="shared" si="99"/>
        <v>18</v>
      </c>
      <c r="W42">
        <f t="shared" si="99"/>
        <v>18</v>
      </c>
      <c r="X42">
        <f t="shared" si="99"/>
        <v>18</v>
      </c>
      <c r="Y42">
        <f t="shared" si="99"/>
        <v>18</v>
      </c>
      <c r="Z42">
        <f t="shared" si="99"/>
        <v>18</v>
      </c>
      <c r="AA42">
        <f t="shared" si="99"/>
        <v>18</v>
      </c>
      <c r="AB42">
        <f t="shared" si="99"/>
        <v>18</v>
      </c>
      <c r="AC42">
        <f t="shared" si="99"/>
        <v>18</v>
      </c>
      <c r="AD42">
        <f t="shared" si="99"/>
        <v>18</v>
      </c>
      <c r="AE42">
        <f t="shared" si="99"/>
        <v>18</v>
      </c>
      <c r="AF42">
        <f t="shared" si="99"/>
        <v>18</v>
      </c>
      <c r="AG42">
        <f t="shared" si="99"/>
        <v>18</v>
      </c>
      <c r="AH42">
        <f t="shared" si="99"/>
        <v>18</v>
      </c>
      <c r="AI42">
        <f t="shared" si="99"/>
        <v>18</v>
      </c>
      <c r="AJ42">
        <f t="shared" si="99"/>
        <v>18</v>
      </c>
      <c r="AK42">
        <f t="shared" si="99"/>
        <v>18</v>
      </c>
      <c r="AL42">
        <f t="shared" si="99"/>
        <v>18</v>
      </c>
      <c r="AM42">
        <f t="shared" si="99"/>
        <v>18</v>
      </c>
      <c r="AN42">
        <f t="shared" si="99"/>
        <v>18</v>
      </c>
      <c r="AO42">
        <f t="shared" si="99"/>
        <v>18</v>
      </c>
      <c r="AP42">
        <f t="shared" si="99"/>
        <v>18</v>
      </c>
      <c r="AQ42">
        <f t="shared" si="99"/>
        <v>18</v>
      </c>
      <c r="AR42">
        <f t="shared" si="99"/>
        <v>18</v>
      </c>
      <c r="AS42">
        <f t="shared" si="99"/>
        <v>18</v>
      </c>
      <c r="AT42">
        <f t="shared" si="99"/>
        <v>18</v>
      </c>
      <c r="AU42">
        <f t="shared" si="99"/>
        <v>18</v>
      </c>
      <c r="AV42">
        <f t="shared" si="99"/>
        <v>18</v>
      </c>
      <c r="AW42">
        <f t="shared" si="99"/>
        <v>18</v>
      </c>
      <c r="AX42">
        <f t="shared" si="99"/>
        <v>18</v>
      </c>
      <c r="AY42">
        <f t="shared" si="99"/>
        <v>18</v>
      </c>
      <c r="AZ42">
        <f t="shared" si="99"/>
        <v>18</v>
      </c>
      <c r="BA42">
        <f t="shared" si="99"/>
        <v>18</v>
      </c>
      <c r="BB42">
        <f t="shared" si="99"/>
        <v>18</v>
      </c>
      <c r="BC42">
        <f t="shared" si="99"/>
        <v>18</v>
      </c>
      <c r="BD42">
        <f t="shared" si="99"/>
        <v>18</v>
      </c>
      <c r="BE42">
        <f t="shared" si="99"/>
        <v>18</v>
      </c>
      <c r="BF42">
        <f t="shared" si="99"/>
        <v>18</v>
      </c>
      <c r="BG42">
        <f t="shared" si="99"/>
        <v>18</v>
      </c>
      <c r="BH42">
        <f t="shared" si="99"/>
        <v>18</v>
      </c>
    </row>
    <row r="43" spans="1:61" s="82" customFormat="1" x14ac:dyDescent="0.2">
      <c r="A43" s="82" t="s">
        <v>786</v>
      </c>
      <c r="B43" s="156"/>
      <c r="C43" s="83">
        <f xml:space="preserve"> (C41+D41)/2 * '20MGD 60 Effect Levellized VTE'!$B$3</f>
        <v>0</v>
      </c>
      <c r="D43" s="83">
        <f xml:space="preserve"> (D41+E41)/2 * '20MGD 60 Effect Levellized VTE'!$B$3</f>
        <v>0</v>
      </c>
      <c r="E43" s="83">
        <f xml:space="preserve"> (E41+F41)/2 * '20MGD 60 Effect Levellized VTE'!$B$3</f>
        <v>51156410.580740981</v>
      </c>
      <c r="F43" s="83">
        <f xml:space="preserve"> (F41+G41)/2 * '20MGD 60 Effect Levellized VTE'!$B$3</f>
        <v>102312821.16148196</v>
      </c>
      <c r="G43" s="83">
        <f xml:space="preserve"> (G41+H41)/2 * '20MGD 60 Effect Levellized VTE'!$B$3</f>
        <v>102312821.16148196</v>
      </c>
      <c r="H43" s="83">
        <f xml:space="preserve"> (H41+I41)/2 * '20MGD 60 Effect Levellized VTE'!$B$3</f>
        <v>102312821.16148196</v>
      </c>
      <c r="I43" s="83">
        <f xml:space="preserve"> (I41+J41)/2 * '20MGD 60 Effect Levellized VTE'!$B$3</f>
        <v>102312821.16148196</v>
      </c>
      <c r="J43" s="83">
        <f xml:space="preserve"> (J41+K41)/2 * '20MGD 60 Effect Levellized VTE'!$B$3</f>
        <v>102312821.16148196</v>
      </c>
      <c r="K43" s="83">
        <f xml:space="preserve"> (K41+L41)/2 * '20MGD 60 Effect Levellized VTE'!$B$3</f>
        <v>102312821.16148196</v>
      </c>
      <c r="L43" s="83">
        <f xml:space="preserve"> (L41+M41)/2 * '20MGD 60 Effect Levellized VTE'!$B$3</f>
        <v>102312821.16148196</v>
      </c>
      <c r="M43" s="83">
        <f xml:space="preserve"> (M41+N41)/2 * '20MGD 60 Effect Levellized VTE'!$B$3</f>
        <v>102312821.16148196</v>
      </c>
      <c r="N43" s="83">
        <f xml:space="preserve"> (N41+O41)/2 * '20MGD 60 Effect Levellized VTE'!$B$3</f>
        <v>51156410.580740981</v>
      </c>
      <c r="O43" s="83">
        <f xml:space="preserve"> (O41+P41)/2 * '20MGD 60 Effect Levellized VTE'!$B$3</f>
        <v>0</v>
      </c>
      <c r="P43" s="83">
        <f xml:space="preserve"> (P41+Q41)/2 * '20MGD 60 Effect Levellized VTE'!$B$3</f>
        <v>0</v>
      </c>
      <c r="Q43" s="83">
        <f xml:space="preserve"> (Q41+R41)/2 * '20MGD 60 Effect Levellized VTE'!$B$3</f>
        <v>0</v>
      </c>
      <c r="R43" s="83">
        <f xml:space="preserve"> (R41+S41)/2 * '20MGD 60 Effect Levellized VTE'!$B$3</f>
        <v>0</v>
      </c>
      <c r="S43" s="83">
        <f xml:space="preserve"> (S41+T41)/2 * '20MGD 60 Effect Levellized VTE'!$B$3</f>
        <v>0</v>
      </c>
      <c r="T43" s="83">
        <f xml:space="preserve"> (T41+U41)/2 * '20MGD 60 Effect Levellized VTE'!$B$3</f>
        <v>0</v>
      </c>
      <c r="U43" s="83">
        <f xml:space="preserve"> (U41+V41)/2 * '20MGD 60 Effect Levellized VTE'!$B$3</f>
        <v>0</v>
      </c>
      <c r="V43" s="83">
        <f xml:space="preserve"> (V41+W41)/2 * '20MGD 60 Effect Levellized VTE'!$B$3</f>
        <v>0</v>
      </c>
      <c r="W43" s="83">
        <f xml:space="preserve"> (W41+X41)/2 * '20MGD 60 Effect Levellized VTE'!$B$3</f>
        <v>0</v>
      </c>
      <c r="X43" s="83">
        <f xml:space="preserve"> (X41+Y41)/2 * '20MGD 60 Effect Levellized VTE'!$B$3</f>
        <v>0</v>
      </c>
      <c r="Y43" s="83">
        <f xml:space="preserve"> (Y41+Z41)/2 * '20MGD 60 Effect Levellized VTE'!$B$3</f>
        <v>0</v>
      </c>
      <c r="Z43" s="83">
        <f xml:space="preserve"> (Z41+AA41)/2 * '20MGD 60 Effect Levellized VTE'!$B$3</f>
        <v>0</v>
      </c>
      <c r="AA43" s="83">
        <f xml:space="preserve"> (AA41+AB41)/2 * '20MGD 60 Effect Levellized VTE'!$B$3</f>
        <v>0</v>
      </c>
      <c r="AB43" s="83">
        <f xml:space="preserve"> (AB41+AC41)/2 * '20MGD 60 Effect Levellized VTE'!$B$3</f>
        <v>0</v>
      </c>
      <c r="AC43" s="83">
        <f xml:space="preserve"> (AC41+AD41)/2 * '20MGD 60 Effect Levellized VTE'!$B$3</f>
        <v>0</v>
      </c>
      <c r="AD43" s="83">
        <f xml:space="preserve"> (AD41+AE41)/2 * '20MGD 60 Effect Levellized VTE'!$B$3</f>
        <v>0</v>
      </c>
      <c r="AE43" s="83">
        <f xml:space="preserve"> (AE41+AF41)/2 * '20MGD 60 Effect Levellized VTE'!$B$3</f>
        <v>0</v>
      </c>
      <c r="AF43" s="83">
        <f xml:space="preserve"> (AF41+AG41)/2 * '20MGD 60 Effect Levellized VTE'!$B$3</f>
        <v>0</v>
      </c>
      <c r="AG43" s="83">
        <f xml:space="preserve"> (AG41+AH41)/2 * '20MGD 60 Effect Levellized VTE'!$B$3</f>
        <v>0</v>
      </c>
      <c r="AH43" s="83">
        <f xml:space="preserve"> (AH41+AI41)/2 * '20MGD 60 Effect Levellized VTE'!$B$3</f>
        <v>0</v>
      </c>
      <c r="AI43" s="83">
        <f xml:space="preserve"> (AI41+AJ41)/2 * '20MGD 60 Effect Levellized VTE'!$B$3</f>
        <v>0</v>
      </c>
      <c r="AJ43" s="83">
        <f xml:space="preserve"> (AJ41+AK41)/2 * '20MGD 60 Effect Levellized VTE'!$B$3</f>
        <v>0</v>
      </c>
      <c r="AK43" s="83">
        <f xml:space="preserve"> (AK41+AL41)/2 * '20MGD 60 Effect Levellized VTE'!$B$3</f>
        <v>0</v>
      </c>
      <c r="AL43" s="83">
        <f xml:space="preserve"> (AL41+AM41)/2 * '20MGD 60 Effect Levellized VTE'!$B$3</f>
        <v>0</v>
      </c>
      <c r="AM43" s="83">
        <f xml:space="preserve"> (AM41+BI41)/2 * '20MGD 60 Effect Levellized VTE'!$B$3</f>
        <v>0</v>
      </c>
      <c r="AN43" s="83">
        <f xml:space="preserve"> (AN41+BJ41)/2 * '20MGD 60 Effect Levellized VTE'!$B$3</f>
        <v>0</v>
      </c>
      <c r="AO43" s="83">
        <f xml:space="preserve"> (AO41+BK41)/2 * '20MGD 60 Effect Levellized VTE'!$B$3</f>
        <v>0</v>
      </c>
      <c r="AP43" s="83">
        <f xml:space="preserve"> (AP41+BL41)/2 * '20MGD 60 Effect Levellized VTE'!$B$3</f>
        <v>0</v>
      </c>
      <c r="AQ43" s="83">
        <f xml:space="preserve"> (AQ41+BM41)/2 * '20MGD 60 Effect Levellized VTE'!$B$3</f>
        <v>0</v>
      </c>
      <c r="AR43" s="83">
        <f xml:space="preserve"> (AR41+BN41)/2 * '20MGD 60 Effect Levellized VTE'!$B$3</f>
        <v>0</v>
      </c>
      <c r="AS43" s="83">
        <f xml:space="preserve"> (AS41+BO41)/2 * '20MGD 60 Effect Levellized VTE'!$B$3</f>
        <v>0</v>
      </c>
      <c r="AT43" s="83">
        <f xml:space="preserve"> (AT41+BP41)/2 * '20MGD 60 Effect Levellized VTE'!$B$3</f>
        <v>0</v>
      </c>
      <c r="AU43" s="83">
        <f xml:space="preserve"> (AU41+BQ41)/2 * '20MGD 60 Effect Levellized VTE'!$B$3</f>
        <v>0</v>
      </c>
      <c r="AV43" s="83">
        <f xml:space="preserve"> (AV41+BR41)/2 * '20MGD 60 Effect Levellized VTE'!$B$3</f>
        <v>0</v>
      </c>
      <c r="AW43" s="83">
        <f xml:space="preserve"> (AW41+BS41)/2 * '20MGD 60 Effect Levellized VTE'!$B$3</f>
        <v>0</v>
      </c>
      <c r="AX43" s="83">
        <f xml:space="preserve"> (AX41+BT41)/2 * '20MGD 60 Effect Levellized VTE'!$B$3</f>
        <v>0</v>
      </c>
      <c r="AY43" s="83">
        <f xml:space="preserve"> (AY41+BU41)/2 * '20MGD 60 Effect Levellized VTE'!$B$3</f>
        <v>0</v>
      </c>
      <c r="AZ43" s="83">
        <f xml:space="preserve"> (AZ41+BV41)/2 * '20MGD 60 Effect Levellized VTE'!$B$3</f>
        <v>0</v>
      </c>
      <c r="BA43" s="83">
        <f xml:space="preserve"> (BA41+BW41)/2 * '20MGD 60 Effect Levellized VTE'!$B$3</f>
        <v>0</v>
      </c>
      <c r="BB43" s="83">
        <f xml:space="preserve"> (BB41+BX41)/2 * '20MGD 60 Effect Levellized VTE'!$B$3</f>
        <v>0</v>
      </c>
      <c r="BC43" s="83">
        <f xml:space="preserve"> (BC41+BY41)/2 * '20MGD 60 Effect Levellized VTE'!$B$3</f>
        <v>0</v>
      </c>
      <c r="BD43" s="83">
        <f xml:space="preserve"> (BD41+BZ41)/2 * '20MGD 60 Effect Levellized VTE'!$B$3</f>
        <v>0</v>
      </c>
      <c r="BE43" s="83">
        <f xml:space="preserve"> (BE41+CA41)/2 * '20MGD 60 Effect Levellized VTE'!$B$3</f>
        <v>0</v>
      </c>
      <c r="BF43" s="83">
        <f xml:space="preserve"> (BF41+CB41)/2 * '20MGD 60 Effect Levellized VTE'!$B$3</f>
        <v>0</v>
      </c>
      <c r="BG43" s="83">
        <f xml:space="preserve"> (BG41+CC41)/2 * '20MGD 60 Effect Levellized VTE'!$B$3</f>
        <v>0</v>
      </c>
      <c r="BH43" s="83">
        <f xml:space="preserve"> (BH41+CD41)/2 * '20MGD 60 Effect Levellized VTE'!$B$3</f>
        <v>0</v>
      </c>
      <c r="BI43" s="83"/>
    </row>
    <row r="44" spans="1:61" s="82" customFormat="1" x14ac:dyDescent="0.2">
      <c r="A44" s="82" t="s">
        <v>787</v>
      </c>
      <c r="B44" s="156"/>
      <c r="C44" s="83">
        <f>C42 * '20MGD 60 Effect Levellized VTE'!$B$31</f>
        <v>0</v>
      </c>
      <c r="D44" s="83">
        <f>D42 * '20MGD 60 Effect Levellized VTE'!$B$31</f>
        <v>0</v>
      </c>
      <c r="E44" s="83">
        <f>E42 * '20MGD 60 Effect Levellized VTE'!$B$31</f>
        <v>0</v>
      </c>
      <c r="F44" s="83">
        <f>F42 * '20MGD 60 Effect Levellized VTE'!$B$31</f>
        <v>0</v>
      </c>
      <c r="G44" s="83">
        <f>G42 * '20MGD 60 Effect Levellized VTE'!$B$31</f>
        <v>8614000</v>
      </c>
      <c r="H44" s="83">
        <f>H42 * '20MGD 60 Effect Levellized VTE'!$B$31</f>
        <v>17228000</v>
      </c>
      <c r="I44" s="83">
        <f>I42 * '20MGD 60 Effect Levellized VTE'!$B$31</f>
        <v>25842000</v>
      </c>
      <c r="J44" s="83">
        <f>J42 * '20MGD 60 Effect Levellized VTE'!$B$31</f>
        <v>34456000</v>
      </c>
      <c r="K44" s="83">
        <f>K42 * '20MGD 60 Effect Levellized VTE'!$B$31</f>
        <v>43070000</v>
      </c>
      <c r="L44" s="83">
        <f>L42 * '20MGD 60 Effect Levellized VTE'!$B$31</f>
        <v>51684000</v>
      </c>
      <c r="M44" s="83">
        <f>M42 * '20MGD 60 Effect Levellized VTE'!$B$31</f>
        <v>60298000</v>
      </c>
      <c r="N44" s="83">
        <f>N42 * '20MGD 60 Effect Levellized VTE'!$B$31</f>
        <v>68912000</v>
      </c>
      <c r="O44" s="83">
        <f>O42 * '20MGD 60 Effect Levellized VTE'!$B$31</f>
        <v>77526000</v>
      </c>
      <c r="P44" s="83">
        <f>P42 * '20MGD 60 Effect Levellized VTE'!$B$31</f>
        <v>77526000</v>
      </c>
      <c r="Q44" s="83">
        <f>Q42 * '20MGD 60 Effect Levellized VTE'!$B$31</f>
        <v>77526000</v>
      </c>
      <c r="R44" s="83">
        <f>R42 * '20MGD 60 Effect Levellized VTE'!$B$31</f>
        <v>77526000</v>
      </c>
      <c r="S44" s="83">
        <f>S42 * '20MGD 60 Effect Levellized VTE'!$B$31</f>
        <v>77526000</v>
      </c>
      <c r="T44" s="83">
        <f>T42 * '20MGD 60 Effect Levellized VTE'!$B$31</f>
        <v>77526000</v>
      </c>
      <c r="U44" s="83">
        <f>U42 * '20MGD 60 Effect Levellized VTE'!$B$31</f>
        <v>77526000</v>
      </c>
      <c r="V44" s="83">
        <f>V42 * '20MGD 60 Effect Levellized VTE'!$B$31</f>
        <v>77526000</v>
      </c>
      <c r="W44" s="83">
        <f>W42 * '20MGD 60 Effect Levellized VTE'!$B$31</f>
        <v>77526000</v>
      </c>
      <c r="X44" s="83">
        <f>X42 * '20MGD 60 Effect Levellized VTE'!$B$31</f>
        <v>77526000</v>
      </c>
      <c r="Y44" s="83">
        <f>Y42 * '20MGD 60 Effect Levellized VTE'!$B$31</f>
        <v>77526000</v>
      </c>
      <c r="Z44" s="83">
        <f>Z42 * '20MGD 60 Effect Levellized VTE'!$B$31</f>
        <v>77526000</v>
      </c>
      <c r="AA44" s="83">
        <f>AA42 * '20MGD 60 Effect Levellized VTE'!$B$31</f>
        <v>77526000</v>
      </c>
      <c r="AB44" s="83">
        <f>AB42 * '20MGD 60 Effect Levellized VTE'!$B$31</f>
        <v>77526000</v>
      </c>
      <c r="AC44" s="83">
        <f>AC42 * '20MGD 60 Effect Levellized VTE'!$B$31</f>
        <v>77526000</v>
      </c>
      <c r="AD44" s="83">
        <f>AD42 * '20MGD 60 Effect Levellized VTE'!$B$31</f>
        <v>77526000</v>
      </c>
      <c r="AE44" s="83">
        <f>AE42 * '20MGD 60 Effect Levellized VTE'!$B$31</f>
        <v>77526000</v>
      </c>
      <c r="AF44" s="83">
        <f>AF42 * '20MGD 60 Effect Levellized VTE'!$B$31</f>
        <v>77526000</v>
      </c>
      <c r="AG44" s="83">
        <f>AG42 * '20MGD 60 Effect Levellized VTE'!$B$31</f>
        <v>77526000</v>
      </c>
      <c r="AH44" s="83">
        <f>AH42 * '20MGD 60 Effect Levellized VTE'!$B$31</f>
        <v>77526000</v>
      </c>
      <c r="AI44" s="83">
        <f>AI42 * '20MGD 60 Effect Levellized VTE'!$B$31</f>
        <v>77526000</v>
      </c>
      <c r="AJ44" s="83">
        <f>AJ42 * '20MGD 60 Effect Levellized VTE'!$B$31</f>
        <v>77526000</v>
      </c>
      <c r="AK44" s="83">
        <f>AK42 * '20MGD 60 Effect Levellized VTE'!$B$31</f>
        <v>77526000</v>
      </c>
      <c r="AL44" s="83">
        <f>AL42 * '20MGD 60 Effect Levellized VTE'!$B$31</f>
        <v>77526000</v>
      </c>
      <c r="AM44" s="83">
        <f>AM42 * '20MGD 60 Effect Levellized VTE'!$B$31</f>
        <v>77526000</v>
      </c>
      <c r="AN44" s="83">
        <f>AN42 * '20MGD 60 Effect Levellized VTE'!$B$31</f>
        <v>77526000</v>
      </c>
      <c r="AO44" s="83">
        <f>AO42 * '20MGD 60 Effect Levellized VTE'!$B$31</f>
        <v>77526000</v>
      </c>
      <c r="AP44" s="83">
        <f>AP42 * '20MGD 60 Effect Levellized VTE'!$B$31</f>
        <v>77526000</v>
      </c>
      <c r="AQ44" s="83">
        <f>AQ42 * '20MGD 60 Effect Levellized VTE'!$B$31</f>
        <v>77526000</v>
      </c>
      <c r="AR44" s="83">
        <f>AR42 * '20MGD 60 Effect Levellized VTE'!$B$31</f>
        <v>77526000</v>
      </c>
      <c r="AS44" s="83">
        <f>AS42 * '20MGD 60 Effect Levellized VTE'!$B$31</f>
        <v>77526000</v>
      </c>
      <c r="AT44" s="83">
        <f>AT42 * '20MGD 60 Effect Levellized VTE'!$B$31</f>
        <v>77526000</v>
      </c>
      <c r="AU44" s="83">
        <f>AU42 * '20MGD 60 Effect Levellized VTE'!$B$31</f>
        <v>77526000</v>
      </c>
      <c r="AV44" s="83">
        <f>AV42 * '20MGD 60 Effect Levellized VTE'!$B$31</f>
        <v>77526000</v>
      </c>
      <c r="AW44" s="83">
        <f>AW42 * '20MGD 60 Effect Levellized VTE'!$B$31</f>
        <v>77526000</v>
      </c>
      <c r="AX44" s="83">
        <f>AX42 * '20MGD 60 Effect Levellized VTE'!$B$31</f>
        <v>77526000</v>
      </c>
      <c r="AY44" s="83">
        <f>AY42 * '20MGD 60 Effect Levellized VTE'!$B$31</f>
        <v>77526000</v>
      </c>
      <c r="AZ44" s="83">
        <f>AZ42 * '20MGD 60 Effect Levellized VTE'!$B$31</f>
        <v>77526000</v>
      </c>
      <c r="BA44" s="83">
        <f>BA42 * '20MGD 60 Effect Levellized VTE'!$B$31</f>
        <v>77526000</v>
      </c>
      <c r="BB44" s="83">
        <f>BB42 * '20MGD 60 Effect Levellized VTE'!$B$31</f>
        <v>77526000</v>
      </c>
      <c r="BC44" s="83">
        <f>BC42 * '20MGD 60 Effect Levellized VTE'!$B$31</f>
        <v>77526000</v>
      </c>
      <c r="BD44" s="83">
        <f>BD42 * '20MGD 60 Effect Levellized VTE'!$B$31</f>
        <v>77526000</v>
      </c>
      <c r="BE44" s="83">
        <f>BE42 * '20MGD 60 Effect Levellized VTE'!$B$31</f>
        <v>77526000</v>
      </c>
      <c r="BF44" s="83">
        <f>BF42 * '20MGD 60 Effect Levellized VTE'!$B$31</f>
        <v>77526000</v>
      </c>
      <c r="BG44" s="83">
        <f>BG42 * '20MGD 60 Effect Levellized VTE'!$B$31</f>
        <v>77526000</v>
      </c>
      <c r="BH44" s="83">
        <f>BH42 * '20MGD 60 Effect Levellized VTE'!$B$31</f>
        <v>77526000</v>
      </c>
      <c r="BI44" s="83"/>
    </row>
    <row r="45" spans="1:61" s="82" customFormat="1" x14ac:dyDescent="0.2">
      <c r="A45" s="82" t="s">
        <v>788</v>
      </c>
      <c r="B45" s="156"/>
      <c r="C45" s="83">
        <f>C42 * '20MGD 60 Effect Levellized VTE'!$B$24</f>
        <v>0</v>
      </c>
      <c r="D45" s="83">
        <f>D42 * '20MGD 60 Effect Levellized VTE'!$B$24</f>
        <v>0</v>
      </c>
      <c r="E45" s="83">
        <f>E42 * '20MGD 60 Effect Levellized VTE'!$B$24</f>
        <v>0</v>
      </c>
      <c r="F45" s="83">
        <f>F42 * '20MGD 60 Effect Levellized VTE'!$B$24</f>
        <v>0</v>
      </c>
      <c r="G45" s="83">
        <f>G42 * '20MGD 60 Effect Levellized VTE'!$B$24</f>
        <v>8987760</v>
      </c>
      <c r="H45" s="83">
        <f>H42 * '20MGD 60 Effect Levellized VTE'!$B$24</f>
        <v>17975520</v>
      </c>
      <c r="I45" s="83">
        <f>I42 * '20MGD 60 Effect Levellized VTE'!$B$24</f>
        <v>26963280</v>
      </c>
      <c r="J45" s="83">
        <f>J42 * '20MGD 60 Effect Levellized VTE'!$B$24</f>
        <v>35951040</v>
      </c>
      <c r="K45" s="83">
        <f>K42 * '20MGD 60 Effect Levellized VTE'!$B$24</f>
        <v>44938800</v>
      </c>
      <c r="L45" s="83">
        <f>L42 * '20MGD 60 Effect Levellized VTE'!$B$24</f>
        <v>53926560</v>
      </c>
      <c r="M45" s="83">
        <f>M42 * '20MGD 60 Effect Levellized VTE'!$B$24</f>
        <v>62914320</v>
      </c>
      <c r="N45" s="83">
        <f>N42 * '20MGD 60 Effect Levellized VTE'!$B$24</f>
        <v>71902080</v>
      </c>
      <c r="O45" s="83">
        <f>O42 * '20MGD 60 Effect Levellized VTE'!$B$24</f>
        <v>80889840</v>
      </c>
      <c r="P45" s="83">
        <f>P42 * '20MGD 60 Effect Levellized VTE'!$B$24</f>
        <v>80889840</v>
      </c>
      <c r="Q45" s="83">
        <f>Q42 * '20MGD 60 Effect Levellized VTE'!$B$24</f>
        <v>80889840</v>
      </c>
      <c r="R45" s="83">
        <f>R42 * '20MGD 60 Effect Levellized VTE'!$B$24</f>
        <v>80889840</v>
      </c>
      <c r="S45" s="83">
        <f>S42 * '20MGD 60 Effect Levellized VTE'!$B$24</f>
        <v>80889840</v>
      </c>
      <c r="T45" s="83">
        <f>T42 * '20MGD 60 Effect Levellized VTE'!$B$24</f>
        <v>80889840</v>
      </c>
      <c r="U45" s="83">
        <f>U42 * '20MGD 60 Effect Levellized VTE'!$B$24</f>
        <v>80889840</v>
      </c>
      <c r="V45" s="83">
        <f>V42 * '20MGD 60 Effect Levellized VTE'!$B$24</f>
        <v>80889840</v>
      </c>
      <c r="W45" s="83">
        <f>W42 * '20MGD 60 Effect Levellized VTE'!$B$24</f>
        <v>80889840</v>
      </c>
      <c r="X45" s="83">
        <f>X42 * '20MGD 60 Effect Levellized VTE'!$B$24</f>
        <v>80889840</v>
      </c>
      <c r="Y45" s="83">
        <f>Y42 * '20MGD 60 Effect Levellized VTE'!$B$24</f>
        <v>80889840</v>
      </c>
      <c r="Z45" s="83">
        <f>Z42 * '20MGD 60 Effect Levellized VTE'!$B$24</f>
        <v>80889840</v>
      </c>
      <c r="AA45" s="83">
        <f>AA42 * '20MGD 60 Effect Levellized VTE'!$B$24</f>
        <v>80889840</v>
      </c>
      <c r="AB45" s="83">
        <f>AB42 * '20MGD 60 Effect Levellized VTE'!$B$24</f>
        <v>80889840</v>
      </c>
      <c r="AC45" s="83">
        <f>AC42 * '20MGD 60 Effect Levellized VTE'!$B$24</f>
        <v>80889840</v>
      </c>
      <c r="AD45" s="83">
        <f>AD42 * '20MGD 60 Effect Levellized VTE'!$B$24</f>
        <v>80889840</v>
      </c>
      <c r="AE45" s="83">
        <f>AE42 * '20MGD 60 Effect Levellized VTE'!$B$24</f>
        <v>80889840</v>
      </c>
      <c r="AF45" s="83">
        <f>AF42 * '20MGD 60 Effect Levellized VTE'!$B$24</f>
        <v>80889840</v>
      </c>
      <c r="AG45" s="83">
        <f>AG42 * '20MGD 60 Effect Levellized VTE'!$B$24</f>
        <v>80889840</v>
      </c>
      <c r="AH45" s="83">
        <f>AH42 * '20MGD 60 Effect Levellized VTE'!$B$24</f>
        <v>80889840</v>
      </c>
      <c r="AI45" s="83">
        <f>AI42 * '20MGD 60 Effect Levellized VTE'!$B$24</f>
        <v>80889840</v>
      </c>
      <c r="AJ45" s="83">
        <f>AJ42 * '20MGD 60 Effect Levellized VTE'!$B$24</f>
        <v>80889840</v>
      </c>
      <c r="AK45" s="83">
        <f>AK42 * '20MGD 60 Effect Levellized VTE'!$B$24</f>
        <v>80889840</v>
      </c>
      <c r="AL45" s="83">
        <f>AL42 * '20MGD 60 Effect Levellized VTE'!$B$24</f>
        <v>80889840</v>
      </c>
      <c r="AM45" s="83">
        <f>AM42 * '20MGD 60 Effect Levellized VTE'!$B$24</f>
        <v>80889840</v>
      </c>
      <c r="AN45" s="83">
        <f>AN42 * '20MGD 60 Effect Levellized VTE'!$B$24</f>
        <v>80889840</v>
      </c>
      <c r="AO45" s="83">
        <f>AO42 * '20MGD 60 Effect Levellized VTE'!$B$24</f>
        <v>80889840</v>
      </c>
      <c r="AP45" s="83">
        <f>AP42 * '20MGD 60 Effect Levellized VTE'!$B$24</f>
        <v>80889840</v>
      </c>
      <c r="AQ45" s="83">
        <f>AQ42 * '20MGD 60 Effect Levellized VTE'!$B$24</f>
        <v>80889840</v>
      </c>
      <c r="AR45" s="83">
        <f>AR42 * '20MGD 60 Effect Levellized VTE'!$B$24</f>
        <v>80889840</v>
      </c>
      <c r="AS45" s="83">
        <f>AS42 * '20MGD 60 Effect Levellized VTE'!$B$24</f>
        <v>80889840</v>
      </c>
      <c r="AT45" s="83">
        <f>AT42 * '20MGD 60 Effect Levellized VTE'!$B$24</f>
        <v>80889840</v>
      </c>
      <c r="AU45" s="83">
        <f>AU42 * '20MGD 60 Effect Levellized VTE'!$B$24</f>
        <v>80889840</v>
      </c>
      <c r="AV45" s="83">
        <f>AV42 * '20MGD 60 Effect Levellized VTE'!$B$24</f>
        <v>80889840</v>
      </c>
      <c r="AW45" s="83">
        <f>AW42 * '20MGD 60 Effect Levellized VTE'!$B$24</f>
        <v>80889840</v>
      </c>
      <c r="AX45" s="83">
        <f>AX42 * '20MGD 60 Effect Levellized VTE'!$B$24</f>
        <v>80889840</v>
      </c>
      <c r="AY45" s="83">
        <f>AY42 * '20MGD 60 Effect Levellized VTE'!$B$24</f>
        <v>80889840</v>
      </c>
      <c r="AZ45" s="83">
        <f>AZ42 * '20MGD 60 Effect Levellized VTE'!$B$24</f>
        <v>80889840</v>
      </c>
      <c r="BA45" s="83">
        <f>BA42 * '20MGD 60 Effect Levellized VTE'!$B$24</f>
        <v>80889840</v>
      </c>
      <c r="BB45" s="83">
        <f>BB42 * '20MGD 60 Effect Levellized VTE'!$B$24</f>
        <v>80889840</v>
      </c>
      <c r="BC45" s="83">
        <f>BC42 * '20MGD 60 Effect Levellized VTE'!$B$24</f>
        <v>80889840</v>
      </c>
      <c r="BD45" s="83">
        <f>BD42 * '20MGD 60 Effect Levellized VTE'!$B$24</f>
        <v>80889840</v>
      </c>
      <c r="BE45" s="83">
        <f>BE42 * '20MGD 60 Effect Levellized VTE'!$B$24</f>
        <v>80889840</v>
      </c>
      <c r="BF45" s="83">
        <f>BF42 * '20MGD 60 Effect Levellized VTE'!$B$24</f>
        <v>80889840</v>
      </c>
      <c r="BG45" s="83">
        <f>BG42 * '20MGD 60 Effect Levellized VTE'!$B$24</f>
        <v>80889840</v>
      </c>
      <c r="BH45" s="83">
        <f>BH42 * '20MGD 60 Effect Levellized VTE'!$B$24</f>
        <v>80889840</v>
      </c>
      <c r="BI45" s="83"/>
    </row>
    <row r="46" spans="1:61" s="119" customFormat="1" x14ac:dyDescent="0.2">
      <c r="A46" s="119" t="s">
        <v>789</v>
      </c>
      <c r="B46" s="159"/>
      <c r="C46" s="120">
        <f xml:space="preserve"> C42 * '20MGD 60 Effect Levellized VTE'!$B$39</f>
        <v>0</v>
      </c>
      <c r="D46" s="120">
        <f>D42 * '20MGD 60 Effect Levellized VTE'!$B$39</f>
        <v>0</v>
      </c>
      <c r="E46" s="120">
        <f>E42 * '20MGD 60 Effect Levellized VTE'!$B$39</f>
        <v>0</v>
      </c>
      <c r="F46" s="120">
        <f>F42 * '20MGD 60 Effect Levellized VTE'!$B$39</f>
        <v>0</v>
      </c>
      <c r="G46" s="120">
        <f>G42 * '20MGD 60 Effect Levellized VTE'!$B$39</f>
        <v>42565.155663015394</v>
      </c>
      <c r="H46" s="120">
        <f>H42 * '20MGD 60 Effect Levellized VTE'!$B$39</f>
        <v>85130.311326030787</v>
      </c>
      <c r="I46" s="120">
        <f>I42 * '20MGD 60 Effect Levellized VTE'!$B$39</f>
        <v>127695.46698904618</v>
      </c>
      <c r="J46" s="120">
        <f>J42 * '20MGD 60 Effect Levellized VTE'!$B$39</f>
        <v>170260.62265206157</v>
      </c>
      <c r="K46" s="120">
        <f>K42 * '20MGD 60 Effect Levellized VTE'!$B$39</f>
        <v>212825.77831507695</v>
      </c>
      <c r="L46" s="120">
        <f>L42 * '20MGD 60 Effect Levellized VTE'!$B$39</f>
        <v>255390.93397809236</v>
      </c>
      <c r="M46" s="120">
        <f>M42 * '20MGD 60 Effect Levellized VTE'!$B$39</f>
        <v>297956.08964110777</v>
      </c>
      <c r="N46" s="120">
        <f>N42 * '20MGD 60 Effect Levellized VTE'!$B$39</f>
        <v>340521.24530412315</v>
      </c>
      <c r="O46" s="120">
        <f>O42 * '20MGD 60 Effect Levellized VTE'!$B$39</f>
        <v>383086.40096713853</v>
      </c>
      <c r="P46" s="120">
        <f>P42 * '20MGD 60 Effect Levellized VTE'!$B$39</f>
        <v>383086.40096713853</v>
      </c>
      <c r="Q46" s="120">
        <f>Q42 * '20MGD 60 Effect Levellized VTE'!$B$39</f>
        <v>383086.40096713853</v>
      </c>
      <c r="R46" s="120">
        <f>R42 * '20MGD 60 Effect Levellized VTE'!$B$39</f>
        <v>383086.40096713853</v>
      </c>
      <c r="S46" s="120">
        <f>S42 * '20MGD 60 Effect Levellized VTE'!$B$39</f>
        <v>383086.40096713853</v>
      </c>
      <c r="T46" s="120">
        <f>T42 * '20MGD 60 Effect Levellized VTE'!$B$39</f>
        <v>383086.40096713853</v>
      </c>
      <c r="U46" s="120">
        <f>U42 * '20MGD 60 Effect Levellized VTE'!$B$39</f>
        <v>383086.40096713853</v>
      </c>
      <c r="V46" s="120">
        <f>V42 * '20MGD 60 Effect Levellized VTE'!$B$39</f>
        <v>383086.40096713853</v>
      </c>
      <c r="W46" s="120">
        <f>W42 * '20MGD 60 Effect Levellized VTE'!$B$39</f>
        <v>383086.40096713853</v>
      </c>
      <c r="X46" s="120">
        <f>X42 * '20MGD 60 Effect Levellized VTE'!$B$39</f>
        <v>383086.40096713853</v>
      </c>
      <c r="Y46" s="120">
        <f>Y42 * '20MGD 60 Effect Levellized VTE'!$B$39</f>
        <v>383086.40096713853</v>
      </c>
      <c r="Z46" s="120">
        <f>Z42 * '20MGD 60 Effect Levellized VTE'!$B$39</f>
        <v>383086.40096713853</v>
      </c>
      <c r="AA46" s="120">
        <f>AA42 * '20MGD 60 Effect Levellized VTE'!$B$39</f>
        <v>383086.40096713853</v>
      </c>
      <c r="AB46" s="120">
        <f>AB42 * '20MGD 60 Effect Levellized VTE'!$B$39</f>
        <v>383086.40096713853</v>
      </c>
      <c r="AC46" s="120">
        <f>AC42 * '20MGD 60 Effect Levellized VTE'!$B$39</f>
        <v>383086.40096713853</v>
      </c>
      <c r="AD46" s="120">
        <f>AD42 * '20MGD 60 Effect Levellized VTE'!$B$39</f>
        <v>383086.40096713853</v>
      </c>
      <c r="AE46" s="120">
        <f>AE42 * '20MGD 60 Effect Levellized VTE'!$B$39</f>
        <v>383086.40096713853</v>
      </c>
      <c r="AF46" s="120">
        <f>AF42 * '20MGD 60 Effect Levellized VTE'!$B$39</f>
        <v>383086.40096713853</v>
      </c>
      <c r="AG46" s="120">
        <f>AG42 * '20MGD 60 Effect Levellized VTE'!$B$39</f>
        <v>383086.40096713853</v>
      </c>
      <c r="AH46" s="120">
        <f>AH42 * '20MGD 60 Effect Levellized VTE'!$B$39</f>
        <v>383086.40096713853</v>
      </c>
      <c r="AI46" s="120">
        <f>AI42 * '20MGD 60 Effect Levellized VTE'!$B$39</f>
        <v>383086.40096713853</v>
      </c>
      <c r="AJ46" s="120">
        <f>AJ42 * '20MGD 60 Effect Levellized VTE'!$B$39</f>
        <v>383086.40096713853</v>
      </c>
      <c r="AK46" s="120">
        <f>AK42 * '20MGD 60 Effect Levellized VTE'!$B$39</f>
        <v>383086.40096713853</v>
      </c>
      <c r="AL46" s="120">
        <f>AL42 * '20MGD 60 Effect Levellized VTE'!$B$39</f>
        <v>383086.40096713853</v>
      </c>
      <c r="AM46" s="120">
        <f>AM42 * '20MGD 60 Effect Levellized VTE'!$B$39</f>
        <v>383086.40096713853</v>
      </c>
      <c r="AN46" s="120">
        <f>AN42 * '20MGD 60 Effect Levellized VTE'!$B$39</f>
        <v>383086.40096713853</v>
      </c>
      <c r="AO46" s="120">
        <f>AO42 * '20MGD 60 Effect Levellized VTE'!$B$39</f>
        <v>383086.40096713853</v>
      </c>
      <c r="AP46" s="120">
        <f>AP42 * '20MGD 60 Effect Levellized VTE'!$B$39</f>
        <v>383086.40096713853</v>
      </c>
      <c r="AQ46" s="120">
        <f>AQ42 * '20MGD 60 Effect Levellized VTE'!$B$39</f>
        <v>383086.40096713853</v>
      </c>
      <c r="AR46" s="120">
        <f>AR42 * '20MGD 60 Effect Levellized VTE'!$B$39</f>
        <v>383086.40096713853</v>
      </c>
      <c r="AS46" s="120">
        <f>AS42 * '20MGD 60 Effect Levellized VTE'!$B$39</f>
        <v>383086.40096713853</v>
      </c>
      <c r="AT46" s="120">
        <f>AT42 * '20MGD 60 Effect Levellized VTE'!$B$39</f>
        <v>383086.40096713853</v>
      </c>
      <c r="AU46" s="120">
        <f>AU42 * '20MGD 60 Effect Levellized VTE'!$B$39</f>
        <v>383086.40096713853</v>
      </c>
      <c r="AV46" s="120">
        <f>AV42 * '20MGD 60 Effect Levellized VTE'!$B$39</f>
        <v>383086.40096713853</v>
      </c>
      <c r="AW46" s="120">
        <f>AW42 * '20MGD 60 Effect Levellized VTE'!$B$39</f>
        <v>383086.40096713853</v>
      </c>
      <c r="AX46" s="120">
        <f>AX42 * '20MGD 60 Effect Levellized VTE'!$B$39</f>
        <v>383086.40096713853</v>
      </c>
      <c r="AY46" s="120">
        <f>AY42 * '20MGD 60 Effect Levellized VTE'!$B$39</f>
        <v>383086.40096713853</v>
      </c>
      <c r="AZ46" s="120">
        <f>AZ42 * '20MGD 60 Effect Levellized VTE'!$B$39</f>
        <v>383086.40096713853</v>
      </c>
      <c r="BA46" s="120">
        <f>BA42 * '20MGD 60 Effect Levellized VTE'!$B$39</f>
        <v>383086.40096713853</v>
      </c>
      <c r="BB46" s="120">
        <f>BB42 * '20MGD 60 Effect Levellized VTE'!$B$39</f>
        <v>383086.40096713853</v>
      </c>
      <c r="BC46" s="120">
        <f>BC42 * '20MGD 60 Effect Levellized VTE'!$B$39</f>
        <v>383086.40096713853</v>
      </c>
      <c r="BD46" s="120">
        <f>BD42 * '20MGD 60 Effect Levellized VTE'!$B$39</f>
        <v>383086.40096713853</v>
      </c>
      <c r="BE46" s="120">
        <f>BE42 * '20MGD 60 Effect Levellized VTE'!$B$39</f>
        <v>383086.40096713853</v>
      </c>
      <c r="BF46" s="120">
        <f>BF42 * '20MGD 60 Effect Levellized VTE'!$B$39</f>
        <v>383086.40096713853</v>
      </c>
      <c r="BG46" s="120">
        <f>BG42 * '20MGD 60 Effect Levellized VTE'!$B$39</f>
        <v>383086.40096713853</v>
      </c>
      <c r="BH46" s="120">
        <f>BH42 * '20MGD 60 Effect Levellized VTE'!$B$39</f>
        <v>383086.40096713853</v>
      </c>
      <c r="BI46" s="120"/>
    </row>
    <row r="47" spans="1:61" s="119" customFormat="1" x14ac:dyDescent="0.2">
      <c r="A47" s="119" t="s">
        <v>822</v>
      </c>
      <c r="B47" s="159"/>
      <c r="C47" s="120">
        <f>IF(C48&gt;0,(C46+C48)/C48,0)</f>
        <v>0</v>
      </c>
      <c r="D47" s="120">
        <f t="shared" ref="D47:F47" si="100">IF(D48&gt;0,(D46+D48)/D48,0)</f>
        <v>0</v>
      </c>
      <c r="E47" s="120">
        <f t="shared" si="100"/>
        <v>0</v>
      </c>
      <c r="F47" s="120">
        <f t="shared" si="100"/>
        <v>0</v>
      </c>
      <c r="G47" s="120">
        <f t="shared" ref="G47" si="101">IF(G48&gt;0,(G46+G48)/G48,0)</f>
        <v>14.434647260485676</v>
      </c>
      <c r="H47" s="120">
        <f t="shared" ref="H47" si="102">IF(H48&gt;0,(H46+H48)/H48,0)</f>
        <v>14.434647260485676</v>
      </c>
      <c r="I47" s="120">
        <f t="shared" ref="I47" si="103">IF(I48&gt;0,(I46+I48)/I48,0)</f>
        <v>14.434647260485674</v>
      </c>
      <c r="J47" s="120">
        <f t="shared" ref="J47" si="104">IF(J48&gt;0,(J46+J48)/J48,0)</f>
        <v>14.434647260485676</v>
      </c>
      <c r="K47" s="120">
        <f t="shared" ref="K47" si="105">IF(K48&gt;0,(K46+K48)/K48,0)</f>
        <v>14.434647260485674</v>
      </c>
      <c r="L47" s="120">
        <f t="shared" ref="L47" si="106">IF(L48&gt;0,(L46+L48)/L48,0)</f>
        <v>14.434647260485674</v>
      </c>
      <c r="M47" s="120">
        <f t="shared" ref="M47" si="107">IF(M48&gt;0,(M46+M48)/M48,0)</f>
        <v>14.434647260485676</v>
      </c>
      <c r="N47" s="120">
        <f t="shared" ref="N47" si="108">IF(N48&gt;0,(N46+N48)/N48,0)</f>
        <v>14.434647260485676</v>
      </c>
      <c r="O47" s="120">
        <f t="shared" ref="O47" si="109">IF(O48&gt;0,(O46+O48)/O48,0)</f>
        <v>14.434647260485676</v>
      </c>
      <c r="P47" s="120">
        <f t="shared" ref="P47" si="110">IF(P48&gt;0,(P46+P48)/P48,0)</f>
        <v>14.434647260485676</v>
      </c>
      <c r="Q47" s="120">
        <f t="shared" ref="Q47" si="111">IF(Q48&gt;0,(Q46+Q48)/Q48,0)</f>
        <v>14.434647260485676</v>
      </c>
      <c r="R47" s="120">
        <f t="shared" ref="R47" si="112">IF(R48&gt;0,(R46+R48)/R48,0)</f>
        <v>14.434647260485676</v>
      </c>
      <c r="S47" s="120">
        <f t="shared" ref="S47" si="113">IF(S48&gt;0,(S46+S48)/S48,0)</f>
        <v>14.434647260485676</v>
      </c>
      <c r="T47" s="120">
        <f t="shared" ref="T47" si="114">IF(T48&gt;0,(T46+T48)/T48,0)</f>
        <v>14.434647260485676</v>
      </c>
      <c r="U47" s="120">
        <f t="shared" ref="U47" si="115">IF(U48&gt;0,(U46+U48)/U48,0)</f>
        <v>14.434647260485676</v>
      </c>
      <c r="V47" s="120">
        <f t="shared" ref="V47" si="116">IF(V48&gt;0,(V46+V48)/V48,0)</f>
        <v>14.434647260485676</v>
      </c>
      <c r="W47" s="120">
        <f t="shared" ref="W47" si="117">IF(W48&gt;0,(W46+W48)/W48,0)</f>
        <v>14.434647260485676</v>
      </c>
      <c r="X47" s="120">
        <f t="shared" ref="X47" si="118">IF(X48&gt;0,(X46+X48)/X48,0)</f>
        <v>14.434647260485676</v>
      </c>
      <c r="Y47" s="120">
        <f t="shared" ref="Y47" si="119">IF(Y48&gt;0,(Y46+Y48)/Y48,0)</f>
        <v>14.434647260485676</v>
      </c>
      <c r="Z47" s="120">
        <f t="shared" ref="Z47" si="120">IF(Z48&gt;0,(Z46+Z48)/Z48,0)</f>
        <v>14.434647260485676</v>
      </c>
      <c r="AA47" s="120">
        <f t="shared" ref="AA47" si="121">IF(AA48&gt;0,(AA46+AA48)/AA48,0)</f>
        <v>14.434647260485676</v>
      </c>
      <c r="AB47" s="120">
        <f t="shared" ref="AB47" si="122">IF(AB48&gt;0,(AB46+AB48)/AB48,0)</f>
        <v>14.434647260485676</v>
      </c>
      <c r="AC47" s="120">
        <f t="shared" ref="AC47" si="123">IF(AC48&gt;0,(AC46+AC48)/AC48,0)</f>
        <v>14.434647260485676</v>
      </c>
      <c r="AD47" s="120">
        <f t="shared" ref="AD47" si="124">IF(AD48&gt;0,(AD46+AD48)/AD48,0)</f>
        <v>14.434647260485676</v>
      </c>
      <c r="AE47" s="120">
        <f t="shared" ref="AE47" si="125">IF(AE48&gt;0,(AE46+AE48)/AE48,0)</f>
        <v>14.434647260485676</v>
      </c>
      <c r="AF47" s="120">
        <f t="shared" ref="AF47" si="126">IF(AF48&gt;0,(AF46+AF48)/AF48,0)</f>
        <v>14.434647260485676</v>
      </c>
      <c r="AG47" s="120">
        <f t="shared" ref="AG47" si="127">IF(AG48&gt;0,(AG46+AG48)/AG48,0)</f>
        <v>14.434647260485676</v>
      </c>
      <c r="AH47" s="120">
        <f t="shared" ref="AH47" si="128">IF(AH48&gt;0,(AH46+AH48)/AH48,0)</f>
        <v>14.434647260485676</v>
      </c>
      <c r="AI47" s="120">
        <f t="shared" ref="AI47" si="129">IF(AI48&gt;0,(AI46+AI48)/AI48,0)</f>
        <v>14.434647260485676</v>
      </c>
      <c r="AJ47" s="120">
        <f t="shared" ref="AJ47" si="130">IF(AJ48&gt;0,(AJ46+AJ48)/AJ48,0)</f>
        <v>14.434647260485676</v>
      </c>
      <c r="AK47" s="120">
        <f t="shared" ref="AK47" si="131">IF(AK48&gt;0,(AK46+AK48)/AK48,0)</f>
        <v>14.434647260485676</v>
      </c>
      <c r="AL47" s="120">
        <f t="shared" ref="AL47" si="132">IF(AL48&gt;0,(AL46+AL48)/AL48,0)</f>
        <v>14.434647260485676</v>
      </c>
      <c r="AM47" s="120">
        <f t="shared" ref="AM47" si="133">IF(AM48&gt;0,(AM46+AM48)/AM48,0)</f>
        <v>14.434647260485676</v>
      </c>
      <c r="AN47" s="120">
        <f t="shared" ref="AN47" si="134">IF(AN48&gt;0,(AN46+AN48)/AN48,0)</f>
        <v>14.434647260485676</v>
      </c>
      <c r="AO47" s="120">
        <f t="shared" ref="AO47" si="135">IF(AO48&gt;0,(AO46+AO48)/AO48,0)</f>
        <v>14.434647260485676</v>
      </c>
      <c r="AP47" s="120">
        <f t="shared" ref="AP47" si="136">IF(AP48&gt;0,(AP46+AP48)/AP48,0)</f>
        <v>14.434647260485676</v>
      </c>
      <c r="AQ47" s="120">
        <f t="shared" ref="AQ47" si="137">IF(AQ48&gt;0,(AQ46+AQ48)/AQ48,0)</f>
        <v>14.434647260485676</v>
      </c>
      <c r="AR47" s="120">
        <f t="shared" ref="AR47" si="138">IF(AR48&gt;0,(AR46+AR48)/AR48,0)</f>
        <v>14.434647260485676</v>
      </c>
      <c r="AS47" s="120">
        <f t="shared" ref="AS47" si="139">IF(AS48&gt;0,(AS46+AS48)/AS48,0)</f>
        <v>14.434647260485676</v>
      </c>
      <c r="AT47" s="120">
        <f t="shared" ref="AT47" si="140">IF(AT48&gt;0,(AT46+AT48)/AT48,0)</f>
        <v>14.434647260485676</v>
      </c>
      <c r="AU47" s="120">
        <f t="shared" ref="AU47" si="141">IF(AU48&gt;0,(AU46+AU48)/AU48,0)</f>
        <v>14.434647260485676</v>
      </c>
      <c r="AV47" s="120">
        <f t="shared" ref="AV47" si="142">IF(AV48&gt;0,(AV46+AV48)/AV48,0)</f>
        <v>14.434647260485676</v>
      </c>
      <c r="AW47" s="120">
        <f t="shared" ref="AW47" si="143">IF(AW48&gt;0,(AW46+AW48)/AW48,0)</f>
        <v>14.434647260485676</v>
      </c>
      <c r="AX47" s="120">
        <f t="shared" ref="AX47" si="144">IF(AX48&gt;0,(AX46+AX48)/AX48,0)</f>
        <v>14.434647260485676</v>
      </c>
      <c r="AY47" s="120">
        <f t="shared" ref="AY47" si="145">IF(AY48&gt;0,(AY46+AY48)/AY48,0)</f>
        <v>14.434647260485676</v>
      </c>
      <c r="AZ47" s="120">
        <f t="shared" ref="AZ47" si="146">IF(AZ48&gt;0,(AZ46+AZ48)/AZ48,0)</f>
        <v>14.434647260485676</v>
      </c>
      <c r="BA47" s="120">
        <f t="shared" ref="BA47" si="147">IF(BA48&gt;0,(BA46+BA48)/BA48,0)</f>
        <v>14.434647260485676</v>
      </c>
      <c r="BB47" s="120">
        <f t="shared" ref="BB47" si="148">IF(BB48&gt;0,(BB46+BB48)/BB48,0)</f>
        <v>14.434647260485676</v>
      </c>
      <c r="BC47" s="120">
        <f t="shared" ref="BC47" si="149">IF(BC48&gt;0,(BC46+BC48)/BC48,0)</f>
        <v>14.434647260485676</v>
      </c>
      <c r="BD47" s="120">
        <f t="shared" ref="BD47" si="150">IF(BD48&gt;0,(BD46+BD48)/BD48,0)</f>
        <v>14.434647260485676</v>
      </c>
      <c r="BE47" s="120">
        <f t="shared" ref="BE47" si="151">IF(BE48&gt;0,(BE46+BE48)/BE48,0)</f>
        <v>14.434647260485676</v>
      </c>
      <c r="BF47" s="120">
        <f t="shared" ref="BF47" si="152">IF(BF48&gt;0,(BF46+BF48)/BF48,0)</f>
        <v>14.434647260485676</v>
      </c>
      <c r="BG47" s="120">
        <f t="shared" ref="BG47" si="153">IF(BG48&gt;0,(BG46+BG48)/BG48,0)</f>
        <v>14.434647260485676</v>
      </c>
      <c r="BH47" s="120">
        <f t="shared" ref="BH47" si="154">IF(BH48&gt;0,(BH46+BH48)/BH48,0)</f>
        <v>14.434647260485676</v>
      </c>
      <c r="BI47" s="120"/>
    </row>
    <row r="48" spans="1:61" s="124" customFormat="1" x14ac:dyDescent="0.2">
      <c r="A48" s="124" t="s">
        <v>796</v>
      </c>
      <c r="B48" s="196"/>
      <c r="C48" s="195">
        <f xml:space="preserve"> C49 / ( 1233.48 * 0.2607)</f>
        <v>0</v>
      </c>
      <c r="D48" s="195">
        <f t="shared" ref="D48:F48" si="155" xml:space="preserve"> D49 / ( 1233.48 * 0.2607)</f>
        <v>0</v>
      </c>
      <c r="E48" s="195">
        <f t="shared" si="155"/>
        <v>0</v>
      </c>
      <c r="F48" s="195">
        <f t="shared" si="155"/>
        <v>0</v>
      </c>
      <c r="G48" s="195">
        <f t="shared" ref="G48" si="156" xml:space="preserve"> G49 / ( 1233.48 * 0.2607)</f>
        <v>3168.312114022458</v>
      </c>
      <c r="H48" s="195">
        <f t="shared" ref="H48" si="157" xml:space="preserve"> H49 / ( 1233.48 * 0.2607)</f>
        <v>6336.624228044916</v>
      </c>
      <c r="I48" s="195">
        <f t="shared" ref="I48" si="158" xml:space="preserve"> I49 / ( 1233.48 * 0.2607)</f>
        <v>9504.9363420673744</v>
      </c>
      <c r="J48" s="195">
        <f t="shared" ref="J48" si="159" xml:space="preserve"> J49 / ( 1233.48 * 0.2607)</f>
        <v>12673.248456089832</v>
      </c>
      <c r="K48" s="195">
        <f t="shared" ref="K48" si="160" xml:space="preserve"> K49 / ( 1233.48 * 0.2607)</f>
        <v>15841.560570112289</v>
      </c>
      <c r="L48" s="195">
        <f t="shared" ref="L48" si="161" xml:space="preserve"> L49 / ( 1233.48 * 0.2607)</f>
        <v>19009.872684134749</v>
      </c>
      <c r="M48" s="195">
        <f t="shared" ref="M48" si="162" xml:space="preserve"> M49 / ( 1233.48 * 0.2607)</f>
        <v>22178.184798157206</v>
      </c>
      <c r="N48" s="195">
        <f t="shared" ref="N48" si="163" xml:space="preserve"> N49 / ( 1233.48 * 0.2607)</f>
        <v>25346.496912179664</v>
      </c>
      <c r="O48" s="195">
        <f t="shared" ref="O48" si="164" xml:space="preserve"> O49 / ( 1233.48 * 0.2607)</f>
        <v>28514.809026202121</v>
      </c>
      <c r="P48" s="195">
        <f t="shared" ref="P48" si="165" xml:space="preserve"> P49 / ( 1233.48 * 0.2607)</f>
        <v>28514.809026202121</v>
      </c>
      <c r="Q48" s="195">
        <f t="shared" ref="Q48" si="166" xml:space="preserve"> Q49 / ( 1233.48 * 0.2607)</f>
        <v>28514.809026202121</v>
      </c>
      <c r="R48" s="195">
        <f t="shared" ref="R48" si="167" xml:space="preserve"> R49 / ( 1233.48 * 0.2607)</f>
        <v>28514.809026202121</v>
      </c>
      <c r="S48" s="195">
        <f t="shared" ref="S48" si="168" xml:space="preserve"> S49 / ( 1233.48 * 0.2607)</f>
        <v>28514.809026202121</v>
      </c>
      <c r="T48" s="195">
        <f t="shared" ref="T48" si="169" xml:space="preserve"> T49 / ( 1233.48 * 0.2607)</f>
        <v>28514.809026202121</v>
      </c>
      <c r="U48" s="195">
        <f t="shared" ref="U48" si="170" xml:space="preserve"> U49 / ( 1233.48 * 0.2607)</f>
        <v>28514.809026202121</v>
      </c>
      <c r="V48" s="195">
        <f t="shared" ref="V48" si="171" xml:space="preserve"> V49 / ( 1233.48 * 0.2607)</f>
        <v>28514.809026202121</v>
      </c>
      <c r="W48" s="195">
        <f t="shared" ref="W48" si="172" xml:space="preserve"> W49 / ( 1233.48 * 0.2607)</f>
        <v>28514.809026202121</v>
      </c>
      <c r="X48" s="195">
        <f t="shared" ref="X48" si="173" xml:space="preserve"> X49 / ( 1233.48 * 0.2607)</f>
        <v>28514.809026202121</v>
      </c>
      <c r="Y48" s="195">
        <f t="shared" ref="Y48" si="174" xml:space="preserve"> Y49 / ( 1233.48 * 0.2607)</f>
        <v>28514.809026202121</v>
      </c>
      <c r="Z48" s="195">
        <f t="shared" ref="Z48" si="175" xml:space="preserve"> Z49 / ( 1233.48 * 0.2607)</f>
        <v>28514.809026202121</v>
      </c>
      <c r="AA48" s="195">
        <f t="shared" ref="AA48" si="176" xml:space="preserve"> AA49 / ( 1233.48 * 0.2607)</f>
        <v>28514.809026202121</v>
      </c>
      <c r="AB48" s="195">
        <f t="shared" ref="AB48" si="177" xml:space="preserve"> AB49 / ( 1233.48 * 0.2607)</f>
        <v>28514.809026202121</v>
      </c>
      <c r="AC48" s="195">
        <f t="shared" ref="AC48" si="178" xml:space="preserve"> AC49 / ( 1233.48 * 0.2607)</f>
        <v>28514.809026202121</v>
      </c>
      <c r="AD48" s="195">
        <f t="shared" ref="AD48" si="179" xml:space="preserve"> AD49 / ( 1233.48 * 0.2607)</f>
        <v>28514.809026202121</v>
      </c>
      <c r="AE48" s="195">
        <f t="shared" ref="AE48" si="180" xml:space="preserve"> AE49 / ( 1233.48 * 0.2607)</f>
        <v>28514.809026202121</v>
      </c>
      <c r="AF48" s="195">
        <f t="shared" ref="AF48" si="181" xml:space="preserve"> AF49 / ( 1233.48 * 0.2607)</f>
        <v>28514.809026202121</v>
      </c>
      <c r="AG48" s="195">
        <f t="shared" ref="AG48" si="182" xml:space="preserve"> AG49 / ( 1233.48 * 0.2607)</f>
        <v>28514.809026202121</v>
      </c>
      <c r="AH48" s="195">
        <f t="shared" ref="AH48" si="183" xml:space="preserve"> AH49 / ( 1233.48 * 0.2607)</f>
        <v>28514.809026202121</v>
      </c>
      <c r="AI48" s="195">
        <f t="shared" ref="AI48" si="184" xml:space="preserve"> AI49 / ( 1233.48 * 0.2607)</f>
        <v>28514.809026202121</v>
      </c>
      <c r="AJ48" s="195">
        <f t="shared" ref="AJ48" si="185" xml:space="preserve"> AJ49 / ( 1233.48 * 0.2607)</f>
        <v>28514.809026202121</v>
      </c>
      <c r="AK48" s="195">
        <f t="shared" ref="AK48" si="186" xml:space="preserve"> AK49 / ( 1233.48 * 0.2607)</f>
        <v>28514.809026202121</v>
      </c>
      <c r="AL48" s="195">
        <f t="shared" ref="AL48" si="187" xml:space="preserve"> AL49 / ( 1233.48 * 0.2607)</f>
        <v>28514.809026202121</v>
      </c>
      <c r="AM48" s="195">
        <f t="shared" ref="AM48" si="188" xml:space="preserve"> AM49 / ( 1233.48 * 0.2607)</f>
        <v>28514.809026202121</v>
      </c>
      <c r="AN48" s="195">
        <f t="shared" ref="AN48" si="189" xml:space="preserve"> AN49 / ( 1233.48 * 0.2607)</f>
        <v>28514.809026202121</v>
      </c>
      <c r="AO48" s="195">
        <f t="shared" ref="AO48" si="190" xml:space="preserve"> AO49 / ( 1233.48 * 0.2607)</f>
        <v>28514.809026202121</v>
      </c>
      <c r="AP48" s="195">
        <f t="shared" ref="AP48" si="191" xml:space="preserve"> AP49 / ( 1233.48 * 0.2607)</f>
        <v>28514.809026202121</v>
      </c>
      <c r="AQ48" s="195">
        <f t="shared" ref="AQ48" si="192" xml:space="preserve"> AQ49 / ( 1233.48 * 0.2607)</f>
        <v>28514.809026202121</v>
      </c>
      <c r="AR48" s="195">
        <f t="shared" ref="AR48" si="193" xml:space="preserve"> AR49 / ( 1233.48 * 0.2607)</f>
        <v>28514.809026202121</v>
      </c>
      <c r="AS48" s="195">
        <f t="shared" ref="AS48" si="194" xml:space="preserve"> AS49 / ( 1233.48 * 0.2607)</f>
        <v>28514.809026202121</v>
      </c>
      <c r="AT48" s="195">
        <f t="shared" ref="AT48" si="195" xml:space="preserve"> AT49 / ( 1233.48 * 0.2607)</f>
        <v>28514.809026202121</v>
      </c>
      <c r="AU48" s="195">
        <f t="shared" ref="AU48" si="196" xml:space="preserve"> AU49 / ( 1233.48 * 0.2607)</f>
        <v>28514.809026202121</v>
      </c>
      <c r="AV48" s="195">
        <f t="shared" ref="AV48" si="197" xml:space="preserve"> AV49 / ( 1233.48 * 0.2607)</f>
        <v>28514.809026202121</v>
      </c>
      <c r="AW48" s="195">
        <f t="shared" ref="AW48" si="198" xml:space="preserve"> AW49 / ( 1233.48 * 0.2607)</f>
        <v>28514.809026202121</v>
      </c>
      <c r="AX48" s="195">
        <f t="shared" ref="AX48" si="199" xml:space="preserve"> AX49 / ( 1233.48 * 0.2607)</f>
        <v>28514.809026202121</v>
      </c>
      <c r="AY48" s="195">
        <f t="shared" ref="AY48" si="200" xml:space="preserve"> AY49 / ( 1233.48 * 0.2607)</f>
        <v>28514.809026202121</v>
      </c>
      <c r="AZ48" s="195">
        <f t="shared" ref="AZ48" si="201" xml:space="preserve"> AZ49 / ( 1233.48 * 0.2607)</f>
        <v>28514.809026202121</v>
      </c>
      <c r="BA48" s="195">
        <f t="shared" ref="BA48" si="202" xml:space="preserve"> BA49 / ( 1233.48 * 0.2607)</f>
        <v>28514.809026202121</v>
      </c>
      <c r="BB48" s="195">
        <f t="shared" ref="BB48" si="203" xml:space="preserve"> BB49 / ( 1233.48 * 0.2607)</f>
        <v>28514.809026202121</v>
      </c>
      <c r="BC48" s="195">
        <f t="shared" ref="BC48" si="204" xml:space="preserve"> BC49 / ( 1233.48 * 0.2607)</f>
        <v>28514.809026202121</v>
      </c>
      <c r="BD48" s="195">
        <f t="shared" ref="BD48" si="205" xml:space="preserve"> BD49 / ( 1233.48 * 0.2607)</f>
        <v>28514.809026202121</v>
      </c>
      <c r="BE48" s="195">
        <f t="shared" ref="BE48" si="206" xml:space="preserve"> BE49 / ( 1233.48 * 0.2607)</f>
        <v>28514.809026202121</v>
      </c>
      <c r="BF48" s="195">
        <f t="shared" ref="BF48" si="207" xml:space="preserve"> BF49 / ( 1233.48 * 0.2607)</f>
        <v>28514.809026202121</v>
      </c>
      <c r="BG48" s="195">
        <f t="shared" ref="BG48" si="208" xml:space="preserve"> BG49 / ( 1233.48 * 0.2607)</f>
        <v>28514.809026202121</v>
      </c>
      <c r="BH48" s="195">
        <f t="shared" ref="BH48" si="209" xml:space="preserve"> BH49 / ( 1233.48 * 0.2607)</f>
        <v>28514.809026202121</v>
      </c>
      <c r="BI48" s="195"/>
    </row>
    <row r="49" spans="1:61" s="124" customFormat="1" x14ac:dyDescent="0.2">
      <c r="A49" s="124" t="s">
        <v>799</v>
      </c>
      <c r="B49" s="196"/>
      <c r="C49" s="195">
        <f xml:space="preserve"> C17*'Levellized Salt Sep Plant'!$C$39</f>
        <v>0</v>
      </c>
      <c r="D49" s="195">
        <f xml:space="preserve"> D17*'Levellized Salt Sep Plant'!$C$39</f>
        <v>0</v>
      </c>
      <c r="E49" s="195">
        <f xml:space="preserve"> E17*'Levellized Salt Sep Plant'!$C$39</f>
        <v>0</v>
      </c>
      <c r="F49" s="195">
        <f xml:space="preserve"> F17*'Levellized Salt Sep Plant'!$C$39</f>
        <v>0</v>
      </c>
      <c r="G49" s="195">
        <f xml:space="preserve"> G17*'Levellized Salt Sep Plant'!$C$39</f>
        <v>1018828.5376036327</v>
      </c>
      <c r="H49" s="195">
        <f xml:space="preserve"> H17*'Levellized Salt Sep Plant'!$C$39</f>
        <v>2037657.0752072653</v>
      </c>
      <c r="I49" s="195">
        <f xml:space="preserve"> I17*'Levellized Salt Sep Plant'!$C$39</f>
        <v>3056485.6128108981</v>
      </c>
      <c r="J49" s="195">
        <f xml:space="preserve"> J17*'Levellized Salt Sep Plant'!$C$39</f>
        <v>4075314.1504145307</v>
      </c>
      <c r="K49" s="195">
        <f xml:space="preserve"> K17*'Levellized Salt Sep Plant'!$C$39</f>
        <v>5094142.6880181637</v>
      </c>
      <c r="L49" s="195">
        <f xml:space="preserve"> L17*'Levellized Salt Sep Plant'!$C$39</f>
        <v>6112971.2256217962</v>
      </c>
      <c r="M49" s="195">
        <f xml:space="preserve"> M17*'Levellized Salt Sep Plant'!$C$39</f>
        <v>7131799.7632254288</v>
      </c>
      <c r="N49" s="195">
        <f xml:space="preserve"> N17*'Levellized Salt Sep Plant'!$C$39</f>
        <v>8150628.3008290613</v>
      </c>
      <c r="O49" s="195">
        <f xml:space="preserve"> O17*'Levellized Salt Sep Plant'!$C$39</f>
        <v>9169456.8384326939</v>
      </c>
      <c r="P49" s="195">
        <f xml:space="preserve"> P17*'Levellized Salt Sep Plant'!$C$39</f>
        <v>9169456.8384326939</v>
      </c>
      <c r="Q49" s="195">
        <f xml:space="preserve"> Q17*'Levellized Salt Sep Plant'!$C$39</f>
        <v>9169456.8384326939</v>
      </c>
      <c r="R49" s="195">
        <f xml:space="preserve"> R17*'Levellized Salt Sep Plant'!$C$39</f>
        <v>9169456.8384326939</v>
      </c>
      <c r="S49" s="195">
        <f xml:space="preserve"> S17*'Levellized Salt Sep Plant'!$C$39</f>
        <v>9169456.8384326939</v>
      </c>
      <c r="T49" s="195">
        <f xml:space="preserve"> T17*'Levellized Salt Sep Plant'!$C$39</f>
        <v>9169456.8384326939</v>
      </c>
      <c r="U49" s="195">
        <f xml:space="preserve"> U17*'Levellized Salt Sep Plant'!$C$39</f>
        <v>9169456.8384326939</v>
      </c>
      <c r="V49" s="195">
        <f xml:space="preserve"> V17*'Levellized Salt Sep Plant'!$C$39</f>
        <v>9169456.8384326939</v>
      </c>
      <c r="W49" s="195">
        <f xml:space="preserve"> W17*'Levellized Salt Sep Plant'!$C$39</f>
        <v>9169456.8384326939</v>
      </c>
      <c r="X49" s="195">
        <f xml:space="preserve"> X17*'Levellized Salt Sep Plant'!$C$39</f>
        <v>9169456.8384326939</v>
      </c>
      <c r="Y49" s="195">
        <f xml:space="preserve"> Y17*'Levellized Salt Sep Plant'!$C$39</f>
        <v>9169456.8384326939</v>
      </c>
      <c r="Z49" s="195">
        <f xml:space="preserve"> Z17*'Levellized Salt Sep Plant'!$C$39</f>
        <v>9169456.8384326939</v>
      </c>
      <c r="AA49" s="195">
        <f xml:space="preserve"> AA17*'Levellized Salt Sep Plant'!$C$39</f>
        <v>9169456.8384326939</v>
      </c>
      <c r="AB49" s="195">
        <f xml:space="preserve"> AB17*'Levellized Salt Sep Plant'!$C$39</f>
        <v>9169456.8384326939</v>
      </c>
      <c r="AC49" s="195">
        <f xml:space="preserve"> AC17*'Levellized Salt Sep Plant'!$C$39</f>
        <v>9169456.8384326939</v>
      </c>
      <c r="AD49" s="195">
        <f xml:space="preserve"> AD17*'Levellized Salt Sep Plant'!$C$39</f>
        <v>9169456.8384326939</v>
      </c>
      <c r="AE49" s="195">
        <f xml:space="preserve"> AE17*'Levellized Salt Sep Plant'!$C$39</f>
        <v>9169456.8384326939</v>
      </c>
      <c r="AF49" s="195">
        <f xml:space="preserve"> AF17*'Levellized Salt Sep Plant'!$C$39</f>
        <v>9169456.8384326939</v>
      </c>
      <c r="AG49" s="195">
        <f xml:space="preserve"> AG17*'Levellized Salt Sep Plant'!$C$39</f>
        <v>9169456.8384326939</v>
      </c>
      <c r="AH49" s="195">
        <f xml:space="preserve"> AH17*'Levellized Salt Sep Plant'!$C$39</f>
        <v>9169456.8384326939</v>
      </c>
      <c r="AI49" s="195">
        <f xml:space="preserve"> AI17*'Levellized Salt Sep Plant'!$C$39</f>
        <v>9169456.8384326939</v>
      </c>
      <c r="AJ49" s="195">
        <f xml:space="preserve"> AJ17*'Levellized Salt Sep Plant'!$C$39</f>
        <v>9169456.8384326939</v>
      </c>
      <c r="AK49" s="195">
        <f xml:space="preserve"> AK17*'Levellized Salt Sep Plant'!$C$39</f>
        <v>9169456.8384326939</v>
      </c>
      <c r="AL49" s="195">
        <f xml:space="preserve"> AL17*'Levellized Salt Sep Plant'!$C$39</f>
        <v>9169456.8384326939</v>
      </c>
      <c r="AM49" s="195">
        <f xml:space="preserve"> AM17*'Levellized Salt Sep Plant'!$C$39</f>
        <v>9169456.8384326939</v>
      </c>
      <c r="AN49" s="195">
        <f xml:space="preserve"> AN17*'Levellized Salt Sep Plant'!$C$39</f>
        <v>9169456.8384326939</v>
      </c>
      <c r="AO49" s="195">
        <f xml:space="preserve"> AO17*'Levellized Salt Sep Plant'!$C$39</f>
        <v>9169456.8384326939</v>
      </c>
      <c r="AP49" s="195">
        <f xml:space="preserve"> AP17*'Levellized Salt Sep Plant'!$C$39</f>
        <v>9169456.8384326939</v>
      </c>
      <c r="AQ49" s="195">
        <f xml:space="preserve"> AQ17*'Levellized Salt Sep Plant'!$C$39</f>
        <v>9169456.8384326939</v>
      </c>
      <c r="AR49" s="195">
        <f xml:space="preserve"> AR17*'Levellized Salt Sep Plant'!$C$39</f>
        <v>9169456.8384326939</v>
      </c>
      <c r="AS49" s="195">
        <f xml:space="preserve"> AS17*'Levellized Salt Sep Plant'!$C$39</f>
        <v>9169456.8384326939</v>
      </c>
      <c r="AT49" s="195">
        <f xml:space="preserve"> AT17*'Levellized Salt Sep Plant'!$C$39</f>
        <v>9169456.8384326939</v>
      </c>
      <c r="AU49" s="195">
        <f xml:space="preserve"> AU17*'Levellized Salt Sep Plant'!$C$39</f>
        <v>9169456.8384326939</v>
      </c>
      <c r="AV49" s="195">
        <f xml:space="preserve"> AV17*'Levellized Salt Sep Plant'!$C$39</f>
        <v>9169456.8384326939</v>
      </c>
      <c r="AW49" s="195">
        <f xml:space="preserve"> AW17*'Levellized Salt Sep Plant'!$C$39</f>
        <v>9169456.8384326939</v>
      </c>
      <c r="AX49" s="195">
        <f xml:space="preserve"> AX17*'Levellized Salt Sep Plant'!$C$39</f>
        <v>9169456.8384326939</v>
      </c>
      <c r="AY49" s="195">
        <f xml:space="preserve"> AY17*'Levellized Salt Sep Plant'!$C$39</f>
        <v>9169456.8384326939</v>
      </c>
      <c r="AZ49" s="195">
        <f xml:space="preserve"> AZ17*'Levellized Salt Sep Plant'!$C$39</f>
        <v>9169456.8384326939</v>
      </c>
      <c r="BA49" s="195">
        <f xml:space="preserve"> BA17*'Levellized Salt Sep Plant'!$C$39</f>
        <v>9169456.8384326939</v>
      </c>
      <c r="BB49" s="195">
        <f xml:space="preserve"> BB17*'Levellized Salt Sep Plant'!$C$39</f>
        <v>9169456.8384326939</v>
      </c>
      <c r="BC49" s="195">
        <f xml:space="preserve"> BC17*'Levellized Salt Sep Plant'!$C$39</f>
        <v>9169456.8384326939</v>
      </c>
      <c r="BD49" s="195">
        <f xml:space="preserve"> BD17*'Levellized Salt Sep Plant'!$C$39</f>
        <v>9169456.8384326939</v>
      </c>
      <c r="BE49" s="195">
        <f xml:space="preserve"> BE17*'Levellized Salt Sep Plant'!$C$39</f>
        <v>9169456.8384326939</v>
      </c>
      <c r="BF49" s="195">
        <f xml:space="preserve"> BF17*'Levellized Salt Sep Plant'!$C$39</f>
        <v>9169456.8384326939</v>
      </c>
      <c r="BG49" s="195">
        <f xml:space="preserve"> BG17*'Levellized Salt Sep Plant'!$C$39</f>
        <v>9169456.8384326939</v>
      </c>
      <c r="BH49" s="195">
        <f xml:space="preserve"> BH17*'Levellized Salt Sep Plant'!$C$39</f>
        <v>9169456.8384326939</v>
      </c>
      <c r="BI49" s="195"/>
    </row>
    <row r="50" spans="1:61" s="113" customFormat="1" x14ac:dyDescent="0.2">
      <c r="A50" s="113" t="s">
        <v>814</v>
      </c>
      <c r="B50" s="164"/>
      <c r="C50" s="205">
        <f xml:space="preserve"> C46 + C48</f>
        <v>0</v>
      </c>
      <c r="D50" s="205">
        <f t="shared" ref="D50:BH50" si="210" xml:space="preserve"> D46 + D48</f>
        <v>0</v>
      </c>
      <c r="E50" s="205">
        <f t="shared" si="210"/>
        <v>0</v>
      </c>
      <c r="F50" s="205">
        <f t="shared" si="210"/>
        <v>0</v>
      </c>
      <c r="G50" s="205">
        <f t="shared" si="210"/>
        <v>45733.467777037855</v>
      </c>
      <c r="H50" s="205">
        <f t="shared" si="210"/>
        <v>91466.93555407571</v>
      </c>
      <c r="I50" s="205">
        <f t="shared" si="210"/>
        <v>137200.40333111354</v>
      </c>
      <c r="J50" s="205">
        <f t="shared" si="210"/>
        <v>182933.87110815142</v>
      </c>
      <c r="K50" s="205">
        <f t="shared" si="210"/>
        <v>228667.33888518924</v>
      </c>
      <c r="L50" s="205">
        <f t="shared" si="210"/>
        <v>274400.80666222709</v>
      </c>
      <c r="M50" s="205">
        <f t="shared" si="210"/>
        <v>320134.27443926496</v>
      </c>
      <c r="N50" s="205">
        <f t="shared" si="210"/>
        <v>365867.74221630284</v>
      </c>
      <c r="O50" s="205">
        <f t="shared" si="210"/>
        <v>411601.20999334066</v>
      </c>
      <c r="P50" s="205">
        <f t="shared" si="210"/>
        <v>411601.20999334066</v>
      </c>
      <c r="Q50" s="205">
        <f t="shared" si="210"/>
        <v>411601.20999334066</v>
      </c>
      <c r="R50" s="205">
        <f t="shared" si="210"/>
        <v>411601.20999334066</v>
      </c>
      <c r="S50" s="205">
        <f t="shared" si="210"/>
        <v>411601.20999334066</v>
      </c>
      <c r="T50" s="205">
        <f t="shared" si="210"/>
        <v>411601.20999334066</v>
      </c>
      <c r="U50" s="205">
        <f t="shared" si="210"/>
        <v>411601.20999334066</v>
      </c>
      <c r="V50" s="205">
        <f t="shared" si="210"/>
        <v>411601.20999334066</v>
      </c>
      <c r="W50" s="205">
        <f t="shared" si="210"/>
        <v>411601.20999334066</v>
      </c>
      <c r="X50" s="205">
        <f t="shared" si="210"/>
        <v>411601.20999334066</v>
      </c>
      <c r="Y50" s="205">
        <f t="shared" si="210"/>
        <v>411601.20999334066</v>
      </c>
      <c r="Z50" s="205">
        <f t="shared" si="210"/>
        <v>411601.20999334066</v>
      </c>
      <c r="AA50" s="205">
        <f t="shared" si="210"/>
        <v>411601.20999334066</v>
      </c>
      <c r="AB50" s="205">
        <f t="shared" si="210"/>
        <v>411601.20999334066</v>
      </c>
      <c r="AC50" s="205">
        <f t="shared" si="210"/>
        <v>411601.20999334066</v>
      </c>
      <c r="AD50" s="205">
        <f t="shared" si="210"/>
        <v>411601.20999334066</v>
      </c>
      <c r="AE50" s="205">
        <f t="shared" si="210"/>
        <v>411601.20999334066</v>
      </c>
      <c r="AF50" s="205">
        <f t="shared" si="210"/>
        <v>411601.20999334066</v>
      </c>
      <c r="AG50" s="205">
        <f t="shared" si="210"/>
        <v>411601.20999334066</v>
      </c>
      <c r="AH50" s="205">
        <f t="shared" si="210"/>
        <v>411601.20999334066</v>
      </c>
      <c r="AI50" s="205">
        <f t="shared" si="210"/>
        <v>411601.20999334066</v>
      </c>
      <c r="AJ50" s="205">
        <f t="shared" si="210"/>
        <v>411601.20999334066</v>
      </c>
      <c r="AK50" s="205">
        <f t="shared" si="210"/>
        <v>411601.20999334066</v>
      </c>
      <c r="AL50" s="205">
        <f t="shared" si="210"/>
        <v>411601.20999334066</v>
      </c>
      <c r="AM50" s="205">
        <f t="shared" si="210"/>
        <v>411601.20999334066</v>
      </c>
      <c r="AN50" s="205">
        <f t="shared" si="210"/>
        <v>411601.20999334066</v>
      </c>
      <c r="AO50" s="205">
        <f t="shared" si="210"/>
        <v>411601.20999334066</v>
      </c>
      <c r="AP50" s="205">
        <f t="shared" si="210"/>
        <v>411601.20999334066</v>
      </c>
      <c r="AQ50" s="205">
        <f t="shared" si="210"/>
        <v>411601.20999334066</v>
      </c>
      <c r="AR50" s="205">
        <f t="shared" si="210"/>
        <v>411601.20999334066</v>
      </c>
      <c r="AS50" s="205">
        <f t="shared" si="210"/>
        <v>411601.20999334066</v>
      </c>
      <c r="AT50" s="205">
        <f t="shared" si="210"/>
        <v>411601.20999334066</v>
      </c>
      <c r="AU50" s="205">
        <f t="shared" si="210"/>
        <v>411601.20999334066</v>
      </c>
      <c r="AV50" s="205">
        <f t="shared" si="210"/>
        <v>411601.20999334066</v>
      </c>
      <c r="AW50" s="205">
        <f t="shared" si="210"/>
        <v>411601.20999334066</v>
      </c>
      <c r="AX50" s="205">
        <f t="shared" si="210"/>
        <v>411601.20999334066</v>
      </c>
      <c r="AY50" s="205">
        <f t="shared" si="210"/>
        <v>411601.20999334066</v>
      </c>
      <c r="AZ50" s="205">
        <f t="shared" si="210"/>
        <v>411601.20999334066</v>
      </c>
      <c r="BA50" s="205">
        <f t="shared" si="210"/>
        <v>411601.20999334066</v>
      </c>
      <c r="BB50" s="205">
        <f t="shared" si="210"/>
        <v>411601.20999334066</v>
      </c>
      <c r="BC50" s="205">
        <f t="shared" si="210"/>
        <v>411601.20999334066</v>
      </c>
      <c r="BD50" s="205">
        <f t="shared" si="210"/>
        <v>411601.20999334066</v>
      </c>
      <c r="BE50" s="205">
        <f t="shared" si="210"/>
        <v>411601.20999334066</v>
      </c>
      <c r="BF50" s="205">
        <f t="shared" si="210"/>
        <v>411601.20999334066</v>
      </c>
      <c r="BG50" s="205">
        <f t="shared" si="210"/>
        <v>411601.20999334066</v>
      </c>
      <c r="BH50" s="205">
        <f t="shared" si="210"/>
        <v>411601.20999334066</v>
      </c>
      <c r="BI50" s="114"/>
    </row>
    <row r="51" spans="1:61" s="119" customFormat="1" x14ac:dyDescent="0.2">
      <c r="A51" s="128" t="s">
        <v>793</v>
      </c>
      <c r="B51" s="162"/>
      <c r="C51" s="120">
        <v>0</v>
      </c>
      <c r="D51" s="120">
        <v>0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0">
        <v>0</v>
      </c>
      <c r="Q51" s="120">
        <v>0</v>
      </c>
      <c r="R51" s="120">
        <v>0</v>
      </c>
      <c r="S51" s="120">
        <v>0</v>
      </c>
      <c r="T51" s="120">
        <v>0</v>
      </c>
      <c r="U51" s="120">
        <v>0</v>
      </c>
      <c r="V51" s="120">
        <v>0</v>
      </c>
      <c r="W51" s="120">
        <v>0</v>
      </c>
      <c r="X51" s="120">
        <v>0</v>
      </c>
      <c r="Y51" s="120">
        <v>0</v>
      </c>
      <c r="Z51" s="120">
        <v>0</v>
      </c>
      <c r="AA51" s="120">
        <v>0</v>
      </c>
      <c r="AB51" s="120">
        <v>0</v>
      </c>
      <c r="AC51" s="120">
        <v>0</v>
      </c>
      <c r="AD51" s="120">
        <v>0</v>
      </c>
      <c r="AE51" s="120">
        <v>0</v>
      </c>
      <c r="AF51" s="120">
        <v>0</v>
      </c>
      <c r="AG51" s="120">
        <v>0</v>
      </c>
      <c r="AH51" s="120">
        <v>0</v>
      </c>
      <c r="AI51" s="120">
        <v>0</v>
      </c>
      <c r="AJ51" s="120">
        <v>0</v>
      </c>
      <c r="AK51" s="120">
        <v>0</v>
      </c>
      <c r="AL51" s="120">
        <v>0</v>
      </c>
      <c r="AM51" s="120">
        <v>0</v>
      </c>
      <c r="AN51" s="120">
        <v>0</v>
      </c>
      <c r="AO51" s="120">
        <v>0</v>
      </c>
      <c r="AP51" s="120">
        <v>0</v>
      </c>
      <c r="AQ51" s="120">
        <v>0</v>
      </c>
      <c r="AR51" s="120">
        <v>0</v>
      </c>
      <c r="AS51" s="120">
        <v>0</v>
      </c>
      <c r="AT51" s="120">
        <v>0</v>
      </c>
      <c r="AU51" s="120">
        <v>0</v>
      </c>
      <c r="AV51" s="120">
        <v>0</v>
      </c>
      <c r="AW51" s="120">
        <v>0</v>
      </c>
      <c r="AX51" s="120">
        <v>0</v>
      </c>
      <c r="AY51" s="120">
        <v>0</v>
      </c>
      <c r="AZ51" s="120">
        <v>0</v>
      </c>
      <c r="BA51" s="120">
        <v>0</v>
      </c>
      <c r="BB51" s="120">
        <v>0</v>
      </c>
      <c r="BC51" s="120">
        <v>0</v>
      </c>
      <c r="BD51" s="120">
        <v>0</v>
      </c>
      <c r="BE51" s="120">
        <v>0</v>
      </c>
      <c r="BF51" s="120">
        <v>0</v>
      </c>
      <c r="BG51" s="120">
        <v>0</v>
      </c>
      <c r="BH51" s="120">
        <v>0</v>
      </c>
      <c r="BI51" s="120"/>
    </row>
    <row r="52" spans="1:61" s="119" customFormat="1" x14ac:dyDescent="0.2">
      <c r="A52" s="128" t="s">
        <v>795</v>
      </c>
      <c r="B52" s="192">
        <v>0</v>
      </c>
      <c r="C52" s="197">
        <v>600</v>
      </c>
      <c r="D52" s="125">
        <f t="shared" ref="D52:AO52" si="211" xml:space="preserve"> C52 + $B52</f>
        <v>600</v>
      </c>
      <c r="E52" s="125">
        <f t="shared" si="211"/>
        <v>600</v>
      </c>
      <c r="F52" s="125">
        <f t="shared" si="211"/>
        <v>600</v>
      </c>
      <c r="G52" s="125">
        <f t="shared" si="211"/>
        <v>600</v>
      </c>
      <c r="H52" s="125">
        <f t="shared" si="211"/>
        <v>600</v>
      </c>
      <c r="I52" s="125">
        <f t="shared" si="211"/>
        <v>600</v>
      </c>
      <c r="J52" s="125">
        <f t="shared" si="211"/>
        <v>600</v>
      </c>
      <c r="K52" s="125">
        <f t="shared" si="211"/>
        <v>600</v>
      </c>
      <c r="L52" s="125">
        <f t="shared" si="211"/>
        <v>600</v>
      </c>
      <c r="M52" s="125">
        <f t="shared" si="211"/>
        <v>600</v>
      </c>
      <c r="N52" s="125">
        <f t="shared" si="211"/>
        <v>600</v>
      </c>
      <c r="O52" s="125">
        <f t="shared" si="211"/>
        <v>600</v>
      </c>
      <c r="P52" s="125">
        <f t="shared" si="211"/>
        <v>600</v>
      </c>
      <c r="Q52" s="125">
        <f t="shared" si="211"/>
        <v>600</v>
      </c>
      <c r="R52" s="125">
        <f t="shared" si="211"/>
        <v>600</v>
      </c>
      <c r="S52" s="125">
        <f t="shared" si="211"/>
        <v>600</v>
      </c>
      <c r="T52" s="125">
        <f t="shared" si="211"/>
        <v>600</v>
      </c>
      <c r="U52" s="125">
        <f t="shared" si="211"/>
        <v>600</v>
      </c>
      <c r="V52" s="125">
        <f t="shared" si="211"/>
        <v>600</v>
      </c>
      <c r="W52" s="125">
        <f t="shared" si="211"/>
        <v>600</v>
      </c>
      <c r="X52" s="125">
        <f t="shared" si="211"/>
        <v>600</v>
      </c>
      <c r="Y52" s="125">
        <f t="shared" si="211"/>
        <v>600</v>
      </c>
      <c r="Z52" s="125">
        <f t="shared" si="211"/>
        <v>600</v>
      </c>
      <c r="AA52" s="125">
        <f t="shared" si="211"/>
        <v>600</v>
      </c>
      <c r="AB52" s="125">
        <f t="shared" si="211"/>
        <v>600</v>
      </c>
      <c r="AC52" s="125">
        <f t="shared" si="211"/>
        <v>600</v>
      </c>
      <c r="AD52" s="125">
        <f t="shared" si="211"/>
        <v>600</v>
      </c>
      <c r="AE52" s="125">
        <f t="shared" si="211"/>
        <v>600</v>
      </c>
      <c r="AF52" s="125">
        <f t="shared" si="211"/>
        <v>600</v>
      </c>
      <c r="AG52" s="125">
        <f t="shared" si="211"/>
        <v>600</v>
      </c>
      <c r="AH52" s="125">
        <f t="shared" si="211"/>
        <v>600</v>
      </c>
      <c r="AI52" s="125">
        <f t="shared" si="211"/>
        <v>600</v>
      </c>
      <c r="AJ52" s="125">
        <f t="shared" si="211"/>
        <v>600</v>
      </c>
      <c r="AK52" s="125">
        <f t="shared" si="211"/>
        <v>600</v>
      </c>
      <c r="AL52" s="125">
        <f t="shared" si="211"/>
        <v>600</v>
      </c>
      <c r="AM52" s="125">
        <f t="shared" si="211"/>
        <v>600</v>
      </c>
      <c r="AN52" s="125">
        <f t="shared" si="211"/>
        <v>600</v>
      </c>
      <c r="AO52" s="125">
        <f t="shared" si="211"/>
        <v>600</v>
      </c>
      <c r="AP52" s="125">
        <f t="shared" ref="AP52" si="212" xml:space="preserve"> AO52 + $B52</f>
        <v>600</v>
      </c>
      <c r="AQ52" s="125">
        <f t="shared" ref="AQ52" si="213" xml:space="preserve"> AP52 + $B52</f>
        <v>600</v>
      </c>
      <c r="AR52" s="125">
        <f t="shared" ref="AR52" si="214" xml:space="preserve"> AQ52 + $B52</f>
        <v>600</v>
      </c>
      <c r="AS52" s="125">
        <f t="shared" ref="AS52" si="215" xml:space="preserve"> AR52 + $B52</f>
        <v>600</v>
      </c>
      <c r="AT52" s="125">
        <f t="shared" ref="AT52" si="216" xml:space="preserve"> AS52 + $B52</f>
        <v>600</v>
      </c>
      <c r="AU52" s="125">
        <f t="shared" ref="AU52" si="217" xml:space="preserve"> AT52 + $B52</f>
        <v>600</v>
      </c>
      <c r="AV52" s="125">
        <f t="shared" ref="AV52" si="218" xml:space="preserve"> AU52 + $B52</f>
        <v>600</v>
      </c>
      <c r="AW52" s="125">
        <f t="shared" ref="AW52" si="219" xml:space="preserve"> AV52 + $B52</f>
        <v>600</v>
      </c>
      <c r="AX52" s="125">
        <f t="shared" ref="AX52" si="220" xml:space="preserve"> AW52 + $B52</f>
        <v>600</v>
      </c>
      <c r="AY52" s="125">
        <f t="shared" ref="AY52" si="221" xml:space="preserve"> AX52 + $B52</f>
        <v>600</v>
      </c>
      <c r="AZ52" s="125">
        <f t="shared" ref="AZ52" si="222" xml:space="preserve"> AY52 + $B52</f>
        <v>600</v>
      </c>
      <c r="BA52" s="125">
        <f t="shared" ref="BA52" si="223" xml:space="preserve"> AZ52 + $B52</f>
        <v>600</v>
      </c>
      <c r="BB52" s="125">
        <f t="shared" ref="BB52" si="224" xml:space="preserve"> BA52 + $B52</f>
        <v>600</v>
      </c>
      <c r="BC52" s="125">
        <f t="shared" ref="BC52" si="225" xml:space="preserve"> BB52 + $B52</f>
        <v>600</v>
      </c>
      <c r="BD52" s="125">
        <f t="shared" ref="BD52" si="226" xml:space="preserve"> BC52 + $B52</f>
        <v>600</v>
      </c>
      <c r="BE52" s="125">
        <f t="shared" ref="BE52" si="227" xml:space="preserve"> BD52 + $B52</f>
        <v>600</v>
      </c>
      <c r="BF52" s="125">
        <f t="shared" ref="BF52" si="228" xml:space="preserve"> BE52 + $B52</f>
        <v>600</v>
      </c>
      <c r="BG52" s="125">
        <f t="shared" ref="BG52:BH52" si="229" xml:space="preserve"> BF52 + $B52</f>
        <v>600</v>
      </c>
      <c r="BH52" s="125">
        <f t="shared" si="229"/>
        <v>600</v>
      </c>
      <c r="BI52" s="120"/>
    </row>
    <row r="53" spans="1:61" s="80" customFormat="1" x14ac:dyDescent="0.2">
      <c r="A53" s="193" t="s">
        <v>797</v>
      </c>
      <c r="B53" s="194"/>
      <c r="C53" s="126">
        <f xml:space="preserve"> C51 * C52</f>
        <v>0</v>
      </c>
      <c r="D53" s="126">
        <f t="shared" ref="D53:L53" si="230" xml:space="preserve"> D51 * D52</f>
        <v>0</v>
      </c>
      <c r="E53" s="126">
        <f t="shared" si="230"/>
        <v>0</v>
      </c>
      <c r="F53" s="126">
        <f t="shared" si="230"/>
        <v>0</v>
      </c>
      <c r="G53" s="126">
        <f t="shared" si="230"/>
        <v>0</v>
      </c>
      <c r="H53" s="126">
        <f t="shared" si="230"/>
        <v>0</v>
      </c>
      <c r="I53" s="126">
        <f t="shared" si="230"/>
        <v>0</v>
      </c>
      <c r="J53" s="126">
        <f t="shared" si="230"/>
        <v>0</v>
      </c>
      <c r="K53" s="126">
        <f t="shared" si="230"/>
        <v>0</v>
      </c>
      <c r="L53" s="126">
        <f t="shared" si="230"/>
        <v>0</v>
      </c>
      <c r="M53" s="126">
        <f t="shared" ref="M53:BH53" si="231" xml:space="preserve"> M51 * M52</f>
        <v>0</v>
      </c>
      <c r="N53" s="126">
        <f t="shared" si="231"/>
        <v>0</v>
      </c>
      <c r="O53" s="126">
        <f t="shared" si="231"/>
        <v>0</v>
      </c>
      <c r="P53" s="126">
        <f t="shared" si="231"/>
        <v>0</v>
      </c>
      <c r="Q53" s="126">
        <f t="shared" si="231"/>
        <v>0</v>
      </c>
      <c r="R53" s="126">
        <f t="shared" si="231"/>
        <v>0</v>
      </c>
      <c r="S53" s="126">
        <f t="shared" si="231"/>
        <v>0</v>
      </c>
      <c r="T53" s="126">
        <f t="shared" si="231"/>
        <v>0</v>
      </c>
      <c r="U53" s="126">
        <f t="shared" si="231"/>
        <v>0</v>
      </c>
      <c r="V53" s="126">
        <f t="shared" si="231"/>
        <v>0</v>
      </c>
      <c r="W53" s="126">
        <f t="shared" si="231"/>
        <v>0</v>
      </c>
      <c r="X53" s="126">
        <f t="shared" si="231"/>
        <v>0</v>
      </c>
      <c r="Y53" s="126">
        <f t="shared" si="231"/>
        <v>0</v>
      </c>
      <c r="Z53" s="126">
        <f t="shared" si="231"/>
        <v>0</v>
      </c>
      <c r="AA53" s="126">
        <f t="shared" si="231"/>
        <v>0</v>
      </c>
      <c r="AB53" s="126">
        <f t="shared" si="231"/>
        <v>0</v>
      </c>
      <c r="AC53" s="126">
        <f t="shared" si="231"/>
        <v>0</v>
      </c>
      <c r="AD53" s="126">
        <f t="shared" si="231"/>
        <v>0</v>
      </c>
      <c r="AE53" s="126">
        <f t="shared" si="231"/>
        <v>0</v>
      </c>
      <c r="AF53" s="126">
        <f t="shared" si="231"/>
        <v>0</v>
      </c>
      <c r="AG53" s="126">
        <f t="shared" si="231"/>
        <v>0</v>
      </c>
      <c r="AH53" s="126">
        <f t="shared" si="231"/>
        <v>0</v>
      </c>
      <c r="AI53" s="126">
        <f t="shared" si="231"/>
        <v>0</v>
      </c>
      <c r="AJ53" s="126">
        <f t="shared" si="231"/>
        <v>0</v>
      </c>
      <c r="AK53" s="126">
        <f t="shared" si="231"/>
        <v>0</v>
      </c>
      <c r="AL53" s="126">
        <f t="shared" si="231"/>
        <v>0</v>
      </c>
      <c r="AM53" s="126">
        <f t="shared" si="231"/>
        <v>0</v>
      </c>
      <c r="AN53" s="126">
        <f t="shared" si="231"/>
        <v>0</v>
      </c>
      <c r="AO53" s="126">
        <f t="shared" si="231"/>
        <v>0</v>
      </c>
      <c r="AP53" s="126">
        <f t="shared" si="231"/>
        <v>0</v>
      </c>
      <c r="AQ53" s="126">
        <f t="shared" si="231"/>
        <v>0</v>
      </c>
      <c r="AR53" s="126">
        <f t="shared" si="231"/>
        <v>0</v>
      </c>
      <c r="AS53" s="126">
        <f t="shared" si="231"/>
        <v>0</v>
      </c>
      <c r="AT53" s="126">
        <f t="shared" si="231"/>
        <v>0</v>
      </c>
      <c r="AU53" s="126">
        <f t="shared" si="231"/>
        <v>0</v>
      </c>
      <c r="AV53" s="126">
        <f t="shared" si="231"/>
        <v>0</v>
      </c>
      <c r="AW53" s="126">
        <f t="shared" si="231"/>
        <v>0</v>
      </c>
      <c r="AX53" s="126">
        <f t="shared" si="231"/>
        <v>0</v>
      </c>
      <c r="AY53" s="126">
        <f t="shared" si="231"/>
        <v>0</v>
      </c>
      <c r="AZ53" s="126">
        <f t="shared" si="231"/>
        <v>0</v>
      </c>
      <c r="BA53" s="126">
        <f t="shared" si="231"/>
        <v>0</v>
      </c>
      <c r="BB53" s="126">
        <f t="shared" si="231"/>
        <v>0</v>
      </c>
      <c r="BC53" s="126">
        <f t="shared" si="231"/>
        <v>0</v>
      </c>
      <c r="BD53" s="126">
        <f t="shared" si="231"/>
        <v>0</v>
      </c>
      <c r="BE53" s="126">
        <f t="shared" si="231"/>
        <v>0</v>
      </c>
      <c r="BF53" s="126">
        <f t="shared" si="231"/>
        <v>0</v>
      </c>
      <c r="BG53" s="126">
        <f t="shared" si="231"/>
        <v>0</v>
      </c>
      <c r="BH53" s="126">
        <f t="shared" si="231"/>
        <v>0</v>
      </c>
      <c r="BI53" s="106"/>
    </row>
    <row r="54" spans="1:61" x14ac:dyDescent="0.2">
      <c r="A54" s="6"/>
      <c r="B54" s="16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1:61" hidden="1" x14ac:dyDescent="0.2">
      <c r="A55" t="s">
        <v>20</v>
      </c>
      <c r="B55" s="31"/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</row>
    <row r="56" spans="1:61" hidden="1" x14ac:dyDescent="0.2">
      <c r="A56" t="s">
        <v>21</v>
      </c>
      <c r="B56" s="31"/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</row>
    <row r="57" spans="1:61" hidden="1" x14ac:dyDescent="0.2">
      <c r="A57" t="s">
        <v>22</v>
      </c>
      <c r="B57" s="31"/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</row>
    <row r="58" spans="1:61" s="82" customFormat="1" hidden="1" x14ac:dyDescent="0.2">
      <c r="A58" s="82" t="s">
        <v>23</v>
      </c>
      <c r="B58" s="156"/>
      <c r="C58" s="83">
        <f>C56*'IID Cost Basis 2013'!$F$79</f>
        <v>0</v>
      </c>
      <c r="D58" s="83">
        <f>D56*'IID Cost Basis 2013'!$F$79</f>
        <v>0</v>
      </c>
      <c r="E58" s="83">
        <f>E56*'IID Cost Basis 2013'!$F$79</f>
        <v>0</v>
      </c>
      <c r="F58" s="83">
        <f>F56*'IID Cost Basis 2013'!$F$79</f>
        <v>0</v>
      </c>
      <c r="G58" s="83">
        <f>G56*'IID Cost Basis 2013'!$F$79</f>
        <v>0</v>
      </c>
      <c r="H58" s="83">
        <f>H56*'IID Cost Basis 2013'!$F$79</f>
        <v>0</v>
      </c>
      <c r="I58" s="83">
        <f>I56*'IID Cost Basis 2013'!$F$79</f>
        <v>0</v>
      </c>
      <c r="J58" s="83">
        <f>J56*'IID Cost Basis 2013'!$F$79</f>
        <v>0</v>
      </c>
      <c r="K58" s="83">
        <f>K56*'IID Cost Basis 2013'!$F$79</f>
        <v>0</v>
      </c>
      <c r="L58" s="83">
        <f>L56*'IID Cost Basis 2013'!$F$79</f>
        <v>0</v>
      </c>
      <c r="M58" s="83">
        <f>M56*'IID Cost Basis 2013'!$F$79</f>
        <v>0</v>
      </c>
      <c r="N58" s="83">
        <f>N56*'IID Cost Basis 2013'!$F$79</f>
        <v>0</v>
      </c>
      <c r="O58" s="83">
        <f>O56*'IID Cost Basis 2013'!$F$79</f>
        <v>0</v>
      </c>
      <c r="P58" s="83">
        <f>P56*'IID Cost Basis 2013'!$F$79</f>
        <v>0</v>
      </c>
      <c r="Q58" s="83">
        <f>Q56*'IID Cost Basis 2013'!$F$79</f>
        <v>0</v>
      </c>
      <c r="R58" s="83">
        <f>R56*'IID Cost Basis 2013'!$F$79</f>
        <v>0</v>
      </c>
      <c r="S58" s="83">
        <f>S56*'IID Cost Basis 2013'!$F$79</f>
        <v>0</v>
      </c>
      <c r="T58" s="83">
        <f>T56*'IID Cost Basis 2013'!$F$79</f>
        <v>0</v>
      </c>
      <c r="U58" s="83">
        <f>U56*'IID Cost Basis 2013'!$F$79</f>
        <v>0</v>
      </c>
      <c r="V58" s="83">
        <f>V56*'IID Cost Basis 2013'!$F$79</f>
        <v>0</v>
      </c>
      <c r="W58" s="83">
        <f>W56*'IID Cost Basis 2013'!$F$79</f>
        <v>0</v>
      </c>
      <c r="X58" s="83">
        <f>X56*'IID Cost Basis 2013'!$F$79</f>
        <v>0</v>
      </c>
      <c r="Y58" s="83">
        <f>Y56*'IID Cost Basis 2013'!$F$79</f>
        <v>0</v>
      </c>
      <c r="Z58" s="83">
        <f>Z56*'IID Cost Basis 2013'!$F$79</f>
        <v>0</v>
      </c>
      <c r="AA58" s="83">
        <f>AA56*'IID Cost Basis 2013'!$F$79</f>
        <v>0</v>
      </c>
      <c r="AB58" s="83">
        <f>AB56*'IID Cost Basis 2013'!$F$79</f>
        <v>0</v>
      </c>
      <c r="AC58" s="83">
        <f>AC56*'IID Cost Basis 2013'!$F$79</f>
        <v>0</v>
      </c>
      <c r="AD58" s="83">
        <f>AD56*'IID Cost Basis 2013'!$F$79</f>
        <v>0</v>
      </c>
      <c r="AE58" s="83">
        <f>AE56*'IID Cost Basis 2013'!$F$79</f>
        <v>0</v>
      </c>
      <c r="AF58" s="83">
        <f>AF56*'IID Cost Basis 2013'!$F$79</f>
        <v>0</v>
      </c>
      <c r="AG58" s="83">
        <f>AG56*'IID Cost Basis 2013'!$F$79</f>
        <v>0</v>
      </c>
      <c r="AH58" s="83">
        <f>AH56*'IID Cost Basis 2013'!$F$79</f>
        <v>0</v>
      </c>
      <c r="AI58" s="83">
        <f>AI56*'IID Cost Basis 2013'!$F$79</f>
        <v>0</v>
      </c>
      <c r="AJ58" s="83">
        <f>AJ56*'IID Cost Basis 2013'!$F$79</f>
        <v>0</v>
      </c>
      <c r="AK58" s="83">
        <f>AK56*'IID Cost Basis 2013'!$F$79</f>
        <v>0</v>
      </c>
      <c r="AL58" s="83">
        <f>AL56*'IID Cost Basis 2013'!$F$79</f>
        <v>0</v>
      </c>
      <c r="AM58" s="83">
        <f>AM56*'IID Cost Basis 2013'!$F$79</f>
        <v>0</v>
      </c>
      <c r="AN58" s="83">
        <f>AN56*'IID Cost Basis 2013'!$F$79</f>
        <v>0</v>
      </c>
      <c r="AO58" s="83">
        <f>AO56*'IID Cost Basis 2013'!$F$79</f>
        <v>0</v>
      </c>
      <c r="AP58" s="83">
        <f>AP56*'IID Cost Basis 2013'!$F$79</f>
        <v>0</v>
      </c>
      <c r="AQ58" s="83">
        <f>AQ56*'IID Cost Basis 2013'!$F$79</f>
        <v>0</v>
      </c>
      <c r="AR58" s="83">
        <f>AR56*'IID Cost Basis 2013'!$F$79</f>
        <v>0</v>
      </c>
      <c r="AS58" s="83">
        <f>AS56*'IID Cost Basis 2013'!$F$79</f>
        <v>0</v>
      </c>
      <c r="AT58" s="83">
        <f>AT56*'IID Cost Basis 2013'!$F$79</f>
        <v>0</v>
      </c>
      <c r="AU58" s="83">
        <f>AU56*'IID Cost Basis 2013'!$F$79</f>
        <v>0</v>
      </c>
      <c r="AV58" s="83">
        <f>AV56*'IID Cost Basis 2013'!$F$79</f>
        <v>0</v>
      </c>
      <c r="AW58" s="83">
        <f>AW56*'IID Cost Basis 2013'!$F$79</f>
        <v>0</v>
      </c>
      <c r="AX58" s="83">
        <f>AX56*'IID Cost Basis 2013'!$F$79</f>
        <v>0</v>
      </c>
      <c r="AY58" s="83">
        <f>AY56*'IID Cost Basis 2013'!$F$79</f>
        <v>0</v>
      </c>
      <c r="AZ58" s="83">
        <f>AZ56*'IID Cost Basis 2013'!$F$79</f>
        <v>0</v>
      </c>
      <c r="BA58" s="83">
        <f>BA56*'IID Cost Basis 2013'!$F$79</f>
        <v>0</v>
      </c>
      <c r="BB58" s="83">
        <f>BB56*'IID Cost Basis 2013'!$F$79</f>
        <v>0</v>
      </c>
      <c r="BC58" s="83">
        <f>BC56*'IID Cost Basis 2013'!$F$79</f>
        <v>0</v>
      </c>
      <c r="BD58" s="83">
        <f>BD56*'IID Cost Basis 2013'!$F$79</f>
        <v>0</v>
      </c>
      <c r="BE58" s="83">
        <f>BE56*'IID Cost Basis 2013'!$F$79</f>
        <v>0</v>
      </c>
      <c r="BF58" s="83">
        <f>BF56*'IID Cost Basis 2013'!$F$79</f>
        <v>0</v>
      </c>
      <c r="BG58" s="83">
        <f>BG56*'IID Cost Basis 2013'!$F$79</f>
        <v>0</v>
      </c>
      <c r="BH58" s="83">
        <f>BH56*'IID Cost Basis 2013'!$F$79</f>
        <v>0</v>
      </c>
      <c r="BI58" s="83"/>
    </row>
    <row r="59" spans="1:61" s="82" customFormat="1" hidden="1" x14ac:dyDescent="0.2">
      <c r="A59" s="82" t="s">
        <v>24</v>
      </c>
      <c r="B59" s="156"/>
      <c r="C59" s="83">
        <f>C57*('IID Cost Basis 2013'!$F$96+'IID Cost Basis 2013'!$F$97)</f>
        <v>0</v>
      </c>
      <c r="D59" s="83">
        <f>D57*('IID Cost Basis 2013'!$F$96+'IID Cost Basis 2013'!$F$97)</f>
        <v>0</v>
      </c>
      <c r="E59" s="83">
        <f>E57*('IID Cost Basis 2013'!$F$96+'IID Cost Basis 2013'!$F$97)</f>
        <v>0</v>
      </c>
      <c r="F59" s="83">
        <f>F57*('IID Cost Basis 2013'!$F$96+'IID Cost Basis 2013'!$F$97)</f>
        <v>0</v>
      </c>
      <c r="G59" s="83">
        <f>G57*('IID Cost Basis 2013'!$F$96+'IID Cost Basis 2013'!$F$97)</f>
        <v>0</v>
      </c>
      <c r="H59" s="83">
        <f>H57*('IID Cost Basis 2013'!$F$96+'IID Cost Basis 2013'!$F$97)</f>
        <v>0</v>
      </c>
      <c r="I59" s="83">
        <f>I57*('IID Cost Basis 2013'!$F$96+'IID Cost Basis 2013'!$F$97)</f>
        <v>0</v>
      </c>
      <c r="J59" s="83">
        <f>J57*('IID Cost Basis 2013'!$F$96+'IID Cost Basis 2013'!$F$97)</f>
        <v>0</v>
      </c>
      <c r="K59" s="83">
        <f>K57*('IID Cost Basis 2013'!$F$96+'IID Cost Basis 2013'!$F$97)</f>
        <v>0</v>
      </c>
      <c r="L59" s="83">
        <f>L57*('IID Cost Basis 2013'!$F$96+'IID Cost Basis 2013'!$F$97)</f>
        <v>0</v>
      </c>
      <c r="M59" s="83">
        <f>M57*('IID Cost Basis 2013'!$F$96+'IID Cost Basis 2013'!$F$97)</f>
        <v>0</v>
      </c>
      <c r="N59" s="83">
        <f>N57*('IID Cost Basis 2013'!$F$96+'IID Cost Basis 2013'!$F$97)</f>
        <v>0</v>
      </c>
      <c r="O59" s="83">
        <f>O57*('IID Cost Basis 2013'!$F$96+'IID Cost Basis 2013'!$F$97)</f>
        <v>0</v>
      </c>
      <c r="P59" s="83">
        <f>P57*('IID Cost Basis 2013'!$F$96+'IID Cost Basis 2013'!$F$97)</f>
        <v>0</v>
      </c>
      <c r="Q59" s="83">
        <f>Q57*('IID Cost Basis 2013'!$F$96+'IID Cost Basis 2013'!$F$97)</f>
        <v>0</v>
      </c>
      <c r="R59" s="83">
        <f>R57*('IID Cost Basis 2013'!$F$96+'IID Cost Basis 2013'!$F$97)</f>
        <v>0</v>
      </c>
      <c r="S59" s="83">
        <f>S57*('IID Cost Basis 2013'!$F$96+'IID Cost Basis 2013'!$F$97)</f>
        <v>0</v>
      </c>
      <c r="T59" s="83">
        <f>T57*('IID Cost Basis 2013'!$F$96+'IID Cost Basis 2013'!$F$97)</f>
        <v>0</v>
      </c>
      <c r="U59" s="83">
        <f>U57*('IID Cost Basis 2013'!$F$96+'IID Cost Basis 2013'!$F$97)</f>
        <v>0</v>
      </c>
      <c r="V59" s="83">
        <f>V57*('IID Cost Basis 2013'!$F$96+'IID Cost Basis 2013'!$F$97)</f>
        <v>0</v>
      </c>
      <c r="W59" s="83">
        <f>W57*('IID Cost Basis 2013'!$F$96+'IID Cost Basis 2013'!$F$97)</f>
        <v>0</v>
      </c>
      <c r="X59" s="83">
        <f>X57*('IID Cost Basis 2013'!$F$96+'IID Cost Basis 2013'!$F$97)</f>
        <v>0</v>
      </c>
      <c r="Y59" s="83">
        <f>Y57*('IID Cost Basis 2013'!$F$96+'IID Cost Basis 2013'!$F$97)</f>
        <v>0</v>
      </c>
      <c r="Z59" s="83">
        <f>Z57*('IID Cost Basis 2013'!$F$96+'IID Cost Basis 2013'!$F$97)</f>
        <v>0</v>
      </c>
      <c r="AA59" s="83">
        <f>AA57*('IID Cost Basis 2013'!$F$96+'IID Cost Basis 2013'!$F$97)</f>
        <v>0</v>
      </c>
      <c r="AB59" s="83">
        <f>AB57*('IID Cost Basis 2013'!$F$96+'IID Cost Basis 2013'!$F$97)</f>
        <v>0</v>
      </c>
      <c r="AC59" s="83">
        <f>AC57*('IID Cost Basis 2013'!$F$96+'IID Cost Basis 2013'!$F$97)</f>
        <v>0</v>
      </c>
      <c r="AD59" s="83">
        <f>AD57*('IID Cost Basis 2013'!$F$96+'IID Cost Basis 2013'!$F$97)</f>
        <v>0</v>
      </c>
      <c r="AE59" s="83">
        <f>AE57*('IID Cost Basis 2013'!$F$96+'IID Cost Basis 2013'!$F$97)</f>
        <v>0</v>
      </c>
      <c r="AF59" s="83">
        <f>AF57*('IID Cost Basis 2013'!$F$96+'IID Cost Basis 2013'!$F$97)</f>
        <v>0</v>
      </c>
      <c r="AG59" s="83">
        <f>AG57*('IID Cost Basis 2013'!$F$96+'IID Cost Basis 2013'!$F$97)</f>
        <v>0</v>
      </c>
      <c r="AH59" s="83">
        <f>AH57*('IID Cost Basis 2013'!$F$96+'IID Cost Basis 2013'!$F$97)</f>
        <v>0</v>
      </c>
      <c r="AI59" s="83">
        <f>AI57*('IID Cost Basis 2013'!$F$96+'IID Cost Basis 2013'!$F$97)</f>
        <v>0</v>
      </c>
      <c r="AJ59" s="83">
        <f>AJ57*('IID Cost Basis 2013'!$F$96+'IID Cost Basis 2013'!$F$97)</f>
        <v>0</v>
      </c>
      <c r="AK59" s="83">
        <f>AK57*('IID Cost Basis 2013'!$F$96+'IID Cost Basis 2013'!$F$97)</f>
        <v>0</v>
      </c>
      <c r="AL59" s="83">
        <f>AL57*('IID Cost Basis 2013'!$F$96+'IID Cost Basis 2013'!$F$97)</f>
        <v>0</v>
      </c>
      <c r="AM59" s="83">
        <f>AM57*('IID Cost Basis 2013'!$F$96+'IID Cost Basis 2013'!$F$97)</f>
        <v>0</v>
      </c>
      <c r="AN59" s="83">
        <f>AN57*('IID Cost Basis 2013'!$F$96+'IID Cost Basis 2013'!$F$97)</f>
        <v>0</v>
      </c>
      <c r="AO59" s="83">
        <f>AO57*('IID Cost Basis 2013'!$F$96+'IID Cost Basis 2013'!$F$97)</f>
        <v>0</v>
      </c>
      <c r="AP59" s="83">
        <f>AP57*('IID Cost Basis 2013'!$F$96+'IID Cost Basis 2013'!$F$97)</f>
        <v>0</v>
      </c>
      <c r="AQ59" s="83">
        <f>AQ57*('IID Cost Basis 2013'!$F$96+'IID Cost Basis 2013'!$F$97)</f>
        <v>0</v>
      </c>
      <c r="AR59" s="83">
        <f>AR57*('IID Cost Basis 2013'!$F$96+'IID Cost Basis 2013'!$F$97)</f>
        <v>0</v>
      </c>
      <c r="AS59" s="83">
        <f>AS57*('IID Cost Basis 2013'!$F$96+'IID Cost Basis 2013'!$F$97)</f>
        <v>0</v>
      </c>
      <c r="AT59" s="83">
        <f>AT57*('IID Cost Basis 2013'!$F$96+'IID Cost Basis 2013'!$F$97)</f>
        <v>0</v>
      </c>
      <c r="AU59" s="83">
        <f>AU57*('IID Cost Basis 2013'!$F$96+'IID Cost Basis 2013'!$F$97)</f>
        <v>0</v>
      </c>
      <c r="AV59" s="83">
        <f>AV57*('IID Cost Basis 2013'!$F$96+'IID Cost Basis 2013'!$F$97)</f>
        <v>0</v>
      </c>
      <c r="AW59" s="83">
        <f>AW57*('IID Cost Basis 2013'!$F$96+'IID Cost Basis 2013'!$F$97)</f>
        <v>0</v>
      </c>
      <c r="AX59" s="83">
        <f>AX57*('IID Cost Basis 2013'!$F$96+'IID Cost Basis 2013'!$F$97)</f>
        <v>0</v>
      </c>
      <c r="AY59" s="83">
        <f>AY57*('IID Cost Basis 2013'!$F$96+'IID Cost Basis 2013'!$F$97)</f>
        <v>0</v>
      </c>
      <c r="AZ59" s="83">
        <f>AZ57*('IID Cost Basis 2013'!$F$96+'IID Cost Basis 2013'!$F$97)</f>
        <v>0</v>
      </c>
      <c r="BA59" s="83">
        <f>BA57*('IID Cost Basis 2013'!$F$96+'IID Cost Basis 2013'!$F$97)</f>
        <v>0</v>
      </c>
      <c r="BB59" s="83">
        <f>BB57*('IID Cost Basis 2013'!$F$96+'IID Cost Basis 2013'!$F$97)</f>
        <v>0</v>
      </c>
      <c r="BC59" s="83">
        <f>BC57*('IID Cost Basis 2013'!$F$96+'IID Cost Basis 2013'!$F$97)</f>
        <v>0</v>
      </c>
      <c r="BD59" s="83">
        <f>BD57*('IID Cost Basis 2013'!$F$96+'IID Cost Basis 2013'!$F$97)</f>
        <v>0</v>
      </c>
      <c r="BE59" s="83">
        <f>BE57*('IID Cost Basis 2013'!$F$96+'IID Cost Basis 2013'!$F$97)</f>
        <v>0</v>
      </c>
      <c r="BF59" s="83">
        <f>BF57*('IID Cost Basis 2013'!$F$96+'IID Cost Basis 2013'!$F$97)</f>
        <v>0</v>
      </c>
      <c r="BG59" s="83">
        <f>BG57*('IID Cost Basis 2013'!$F$96+'IID Cost Basis 2013'!$F$97)</f>
        <v>0</v>
      </c>
      <c r="BH59" s="83">
        <f>BH57*('IID Cost Basis 2013'!$F$96+'IID Cost Basis 2013'!$F$97)</f>
        <v>0</v>
      </c>
      <c r="BI59" s="83"/>
    </row>
    <row r="60" spans="1:61" hidden="1" x14ac:dyDescent="0.2">
      <c r="A60" t="s">
        <v>25</v>
      </c>
      <c r="B60" s="31"/>
      <c r="C60" s="5">
        <f>C57*'IID Cost Basis 2013'!$F$102</f>
        <v>0</v>
      </c>
      <c r="D60" s="5">
        <f>D57*'IID Cost Basis 2013'!$F$102</f>
        <v>0</v>
      </c>
      <c r="E60" s="5">
        <f>E57*'IID Cost Basis 2013'!$F$102</f>
        <v>0</v>
      </c>
      <c r="F60" s="5">
        <f>F57*'IID Cost Basis 2013'!$F$102</f>
        <v>0</v>
      </c>
      <c r="G60" s="5">
        <f>G57*'IID Cost Basis 2013'!$F$102</f>
        <v>0</v>
      </c>
      <c r="H60" s="5">
        <f>H57*'IID Cost Basis 2013'!$F$102</f>
        <v>0</v>
      </c>
      <c r="I60" s="5">
        <f>I57*'IID Cost Basis 2013'!$F$102</f>
        <v>0</v>
      </c>
      <c r="J60" s="5">
        <f>J57*'IID Cost Basis 2013'!$F$102</f>
        <v>0</v>
      </c>
      <c r="K60" s="5">
        <f>K57*'IID Cost Basis 2013'!$F$102</f>
        <v>0</v>
      </c>
      <c r="L60" s="5">
        <f>L57*'IID Cost Basis 2013'!$F$102</f>
        <v>0</v>
      </c>
      <c r="M60" s="5">
        <f>M57*'IID Cost Basis 2013'!$F$102</f>
        <v>0</v>
      </c>
      <c r="N60" s="5">
        <f>N57*'IID Cost Basis 2013'!$F$102</f>
        <v>0</v>
      </c>
      <c r="O60" s="5">
        <f>O57*'IID Cost Basis 2013'!$F$102</f>
        <v>0</v>
      </c>
      <c r="P60" s="5">
        <f>P57*'IID Cost Basis 2013'!$F$102</f>
        <v>0</v>
      </c>
      <c r="Q60" s="5">
        <f>Q57*'IID Cost Basis 2013'!$F$102</f>
        <v>0</v>
      </c>
      <c r="R60" s="5">
        <f>R57*'IID Cost Basis 2013'!$F$102</f>
        <v>0</v>
      </c>
      <c r="S60" s="5">
        <f>S57*'IID Cost Basis 2013'!$F$102</f>
        <v>0</v>
      </c>
      <c r="T60" s="5">
        <f>T57*'IID Cost Basis 2013'!$F$102</f>
        <v>0</v>
      </c>
      <c r="U60" s="5">
        <f>U57*'IID Cost Basis 2013'!$F$102</f>
        <v>0</v>
      </c>
      <c r="V60" s="5">
        <f>V57*'IID Cost Basis 2013'!$F$102</f>
        <v>0</v>
      </c>
      <c r="W60" s="5">
        <f>W57*'IID Cost Basis 2013'!$F$102</f>
        <v>0</v>
      </c>
      <c r="X60" s="5">
        <f>X57*'IID Cost Basis 2013'!$F$102</f>
        <v>0</v>
      </c>
      <c r="Y60" s="5">
        <f>Y57*'IID Cost Basis 2013'!$F$102</f>
        <v>0</v>
      </c>
      <c r="Z60" s="5">
        <f>Z57*'IID Cost Basis 2013'!$F$102</f>
        <v>0</v>
      </c>
      <c r="AA60" s="5">
        <f>AA57*'IID Cost Basis 2013'!$F$102</f>
        <v>0</v>
      </c>
      <c r="AB60" s="5">
        <f>AB57*'IID Cost Basis 2013'!$F$102</f>
        <v>0</v>
      </c>
      <c r="AC60" s="5">
        <f>AC57*'IID Cost Basis 2013'!$F$102</f>
        <v>0</v>
      </c>
      <c r="AD60" s="5">
        <f>AD57*'IID Cost Basis 2013'!$F$102</f>
        <v>0</v>
      </c>
      <c r="AE60" s="5">
        <f>AE57*'IID Cost Basis 2013'!$F$102</f>
        <v>0</v>
      </c>
      <c r="AF60" s="5">
        <f>AF57*'IID Cost Basis 2013'!$F$102</f>
        <v>0</v>
      </c>
      <c r="AG60" s="5">
        <f>AG57*'IID Cost Basis 2013'!$F$102</f>
        <v>0</v>
      </c>
      <c r="AH60" s="5">
        <f>AH57*'IID Cost Basis 2013'!$F$102</f>
        <v>0</v>
      </c>
      <c r="AI60" s="5">
        <f>AI57*'IID Cost Basis 2013'!$F$102</f>
        <v>0</v>
      </c>
      <c r="AJ60" s="5">
        <f>AJ57*'IID Cost Basis 2013'!$F$102</f>
        <v>0</v>
      </c>
      <c r="AK60" s="5">
        <f>AK57*'IID Cost Basis 2013'!$F$102</f>
        <v>0</v>
      </c>
      <c r="AL60" s="5">
        <f>AL57*'IID Cost Basis 2013'!$F$102</f>
        <v>0</v>
      </c>
      <c r="AM60" s="5">
        <f>AM57*'IID Cost Basis 2013'!$F$102</f>
        <v>0</v>
      </c>
      <c r="AN60" s="5">
        <f>AN57*'IID Cost Basis 2013'!$F$102</f>
        <v>0</v>
      </c>
      <c r="AO60" s="5">
        <f>AO57*'IID Cost Basis 2013'!$F$102</f>
        <v>0</v>
      </c>
      <c r="AP60" s="5">
        <f>AP57*'IID Cost Basis 2013'!$F$102</f>
        <v>0</v>
      </c>
      <c r="AQ60" s="5">
        <f>AQ57*'IID Cost Basis 2013'!$F$102</f>
        <v>0</v>
      </c>
      <c r="AR60" s="5">
        <f>AR57*'IID Cost Basis 2013'!$F$102</f>
        <v>0</v>
      </c>
      <c r="AS60" s="5">
        <f>AS57*'IID Cost Basis 2013'!$F$102</f>
        <v>0</v>
      </c>
      <c r="AT60" s="5">
        <f>AT57*'IID Cost Basis 2013'!$F$102</f>
        <v>0</v>
      </c>
      <c r="AU60" s="5">
        <f>AU57*'IID Cost Basis 2013'!$F$102</f>
        <v>0</v>
      </c>
      <c r="AV60" s="5">
        <f>AV57*'IID Cost Basis 2013'!$F$102</f>
        <v>0</v>
      </c>
      <c r="AW60" s="5">
        <f>AW57*'IID Cost Basis 2013'!$F$102</f>
        <v>0</v>
      </c>
      <c r="AX60" s="5">
        <f>AX57*'IID Cost Basis 2013'!$F$102</f>
        <v>0</v>
      </c>
      <c r="AY60" s="5">
        <f>AY57*'IID Cost Basis 2013'!$F$102</f>
        <v>0</v>
      </c>
      <c r="AZ60" s="5">
        <f>AZ57*'IID Cost Basis 2013'!$F$102</f>
        <v>0</v>
      </c>
      <c r="BA60" s="5">
        <f>BA57*'IID Cost Basis 2013'!$F$102</f>
        <v>0</v>
      </c>
      <c r="BB60" s="5">
        <f>BB57*'IID Cost Basis 2013'!$F$102</f>
        <v>0</v>
      </c>
      <c r="BC60" s="5">
        <f>BC57*'IID Cost Basis 2013'!$F$102</f>
        <v>0</v>
      </c>
      <c r="BD60" s="5">
        <f>BD57*'IID Cost Basis 2013'!$F$102</f>
        <v>0</v>
      </c>
      <c r="BE60" s="5">
        <f>BE57*'IID Cost Basis 2013'!$F$102</f>
        <v>0</v>
      </c>
      <c r="BF60" s="5">
        <f>BF57*'IID Cost Basis 2013'!$F$102</f>
        <v>0</v>
      </c>
      <c r="BG60" s="5">
        <f>BG57*'IID Cost Basis 2013'!$F$102</f>
        <v>0</v>
      </c>
      <c r="BH60" s="5">
        <f>BH57*'IID Cost Basis 2013'!$F$102</f>
        <v>0</v>
      </c>
      <c r="BI60" s="5"/>
    </row>
    <row r="61" spans="1:61" hidden="1" x14ac:dyDescent="0.2">
      <c r="A61" t="s">
        <v>1</v>
      </c>
      <c r="B61" s="31"/>
      <c r="C61" s="11">
        <f>'Blended Water Cost Summary'!$F$9</f>
        <v>2.3333333333333335</v>
      </c>
      <c r="D61" s="11">
        <f>'Blended Water Cost Summary'!$F$9</f>
        <v>2.3333333333333335</v>
      </c>
      <c r="E61" s="11">
        <f>'Blended Water Cost Summary'!$F$9</f>
        <v>2.3333333333333335</v>
      </c>
      <c r="F61" s="11">
        <f>'Blended Water Cost Summary'!$F$9</f>
        <v>2.3333333333333335</v>
      </c>
      <c r="G61" s="11">
        <f>'Blended Water Cost Summary'!$F$9</f>
        <v>2.3333333333333335</v>
      </c>
      <c r="H61" s="11">
        <f>'Blended Water Cost Summary'!$F$9</f>
        <v>2.3333333333333335</v>
      </c>
      <c r="I61" s="11">
        <f>'Blended Water Cost Summary'!$F$9</f>
        <v>2.3333333333333335</v>
      </c>
      <c r="J61" s="11">
        <f>'Blended Water Cost Summary'!$F$9</f>
        <v>2.3333333333333335</v>
      </c>
      <c r="K61" s="11">
        <f>'Blended Water Cost Summary'!$F$9</f>
        <v>2.3333333333333335</v>
      </c>
      <c r="L61" s="11">
        <f>'Blended Water Cost Summary'!$F$9</f>
        <v>2.3333333333333335</v>
      </c>
      <c r="M61" s="11">
        <f>'Blended Water Cost Summary'!$F$9</f>
        <v>2.3333333333333335</v>
      </c>
      <c r="N61" s="11">
        <f>'Blended Water Cost Summary'!$F$9</f>
        <v>2.3333333333333335</v>
      </c>
      <c r="O61" s="11">
        <f>'Blended Water Cost Summary'!$F$9</f>
        <v>2.3333333333333335</v>
      </c>
      <c r="P61" s="11">
        <f>'Blended Water Cost Summary'!$F$9</f>
        <v>2.3333333333333335</v>
      </c>
      <c r="Q61" s="11">
        <f>'Blended Water Cost Summary'!$F$9</f>
        <v>2.3333333333333335</v>
      </c>
      <c r="R61" s="11">
        <f>'Blended Water Cost Summary'!$F$9</f>
        <v>2.3333333333333335</v>
      </c>
      <c r="S61" s="11">
        <f>'Blended Water Cost Summary'!$F$9</f>
        <v>2.3333333333333335</v>
      </c>
      <c r="T61" s="11">
        <f>'Blended Water Cost Summary'!$F$9</f>
        <v>2.3333333333333335</v>
      </c>
      <c r="U61" s="11">
        <f>'Blended Water Cost Summary'!$F$9</f>
        <v>2.3333333333333335</v>
      </c>
      <c r="V61" s="11">
        <f>'Blended Water Cost Summary'!$F$9</f>
        <v>2.3333333333333335</v>
      </c>
      <c r="W61" s="11">
        <f>'Blended Water Cost Summary'!$F$9</f>
        <v>2.3333333333333335</v>
      </c>
      <c r="X61" s="11">
        <f>'Blended Water Cost Summary'!$F$9</f>
        <v>2.3333333333333335</v>
      </c>
      <c r="Y61" s="11">
        <f>'Blended Water Cost Summary'!$F$9</f>
        <v>2.3333333333333335</v>
      </c>
      <c r="Z61" s="11">
        <f>'Blended Water Cost Summary'!$F$9</f>
        <v>2.3333333333333335</v>
      </c>
      <c r="AA61" s="11">
        <f>'Blended Water Cost Summary'!$F$9</f>
        <v>2.3333333333333335</v>
      </c>
      <c r="AB61" s="11">
        <f>'Blended Water Cost Summary'!$F$9</f>
        <v>2.3333333333333335</v>
      </c>
      <c r="AC61" s="11">
        <f>'Blended Water Cost Summary'!$F$9</f>
        <v>2.3333333333333335</v>
      </c>
      <c r="AD61" s="11">
        <f>'Blended Water Cost Summary'!$F$9</f>
        <v>2.3333333333333335</v>
      </c>
      <c r="AE61" s="11">
        <f>'Blended Water Cost Summary'!$F$9</f>
        <v>2.3333333333333335</v>
      </c>
      <c r="AF61" s="11">
        <f>'Blended Water Cost Summary'!$F$9</f>
        <v>2.3333333333333335</v>
      </c>
      <c r="AG61" s="11">
        <f>'Blended Water Cost Summary'!$F$9</f>
        <v>2.3333333333333335</v>
      </c>
      <c r="AH61" s="11">
        <f>'Blended Water Cost Summary'!$F$9</f>
        <v>2.3333333333333335</v>
      </c>
      <c r="AI61" s="11">
        <f>'Blended Water Cost Summary'!$F$9</f>
        <v>2.3333333333333335</v>
      </c>
      <c r="AJ61" s="11">
        <f>'Blended Water Cost Summary'!$F$9</f>
        <v>2.3333333333333335</v>
      </c>
      <c r="AK61" s="11">
        <f>'Blended Water Cost Summary'!$F$9</f>
        <v>2.3333333333333335</v>
      </c>
      <c r="AL61" s="11">
        <f>'Blended Water Cost Summary'!$F$9</f>
        <v>2.3333333333333335</v>
      </c>
      <c r="AM61" s="11">
        <f>'Blended Water Cost Summary'!$F$9</f>
        <v>2.3333333333333335</v>
      </c>
      <c r="AN61" s="11">
        <f>'Blended Water Cost Summary'!$F$9</f>
        <v>2.3333333333333335</v>
      </c>
      <c r="AO61" s="11">
        <f>'Blended Water Cost Summary'!$F$9</f>
        <v>2.3333333333333335</v>
      </c>
      <c r="AP61" s="11">
        <f>'Blended Water Cost Summary'!$F$9</f>
        <v>2.3333333333333335</v>
      </c>
      <c r="AQ61" s="11">
        <f>'Blended Water Cost Summary'!$F$9</f>
        <v>2.3333333333333335</v>
      </c>
      <c r="AR61" s="11">
        <f>'Blended Water Cost Summary'!$F$9</f>
        <v>2.3333333333333335</v>
      </c>
      <c r="AS61" s="11">
        <f>'Blended Water Cost Summary'!$F$9</f>
        <v>2.3333333333333335</v>
      </c>
      <c r="AT61" s="11">
        <f>'Blended Water Cost Summary'!$F$9</f>
        <v>2.3333333333333335</v>
      </c>
      <c r="AU61" s="11">
        <f>'Blended Water Cost Summary'!$F$9</f>
        <v>2.3333333333333335</v>
      </c>
      <c r="AV61" s="11">
        <f>'Blended Water Cost Summary'!$F$9</f>
        <v>2.3333333333333335</v>
      </c>
      <c r="AW61" s="11">
        <f>'Blended Water Cost Summary'!$F$9</f>
        <v>2.3333333333333335</v>
      </c>
      <c r="AX61" s="11">
        <f>'Blended Water Cost Summary'!$F$9</f>
        <v>2.3333333333333335</v>
      </c>
      <c r="AY61" s="11">
        <f>'Blended Water Cost Summary'!$F$9</f>
        <v>2.3333333333333335</v>
      </c>
      <c r="AZ61" s="11">
        <f>'Blended Water Cost Summary'!$F$9</f>
        <v>2.3333333333333335</v>
      </c>
      <c r="BA61" s="11">
        <f>'Blended Water Cost Summary'!$F$9</f>
        <v>2.3333333333333335</v>
      </c>
      <c r="BB61" s="11">
        <f>'Blended Water Cost Summary'!$F$9</f>
        <v>2.3333333333333335</v>
      </c>
      <c r="BC61" s="11">
        <f>'Blended Water Cost Summary'!$F$9</f>
        <v>2.3333333333333335</v>
      </c>
      <c r="BD61" s="11">
        <f>'Blended Water Cost Summary'!$F$9</f>
        <v>2.3333333333333335</v>
      </c>
      <c r="BE61" s="11">
        <f>'Blended Water Cost Summary'!$F$9</f>
        <v>2.3333333333333335</v>
      </c>
      <c r="BF61" s="11">
        <f>'Blended Water Cost Summary'!$F$9</f>
        <v>2.3333333333333335</v>
      </c>
      <c r="BG61" s="11">
        <f>'Blended Water Cost Summary'!$F$9</f>
        <v>2.3333333333333335</v>
      </c>
      <c r="BH61" s="11">
        <f>'Blended Water Cost Summary'!$F$9</f>
        <v>2.3333333333333335</v>
      </c>
      <c r="BI61" s="11"/>
    </row>
    <row r="62" spans="1:61" s="80" customFormat="1" hidden="1" x14ac:dyDescent="0.2">
      <c r="A62" s="80" t="s">
        <v>645</v>
      </c>
      <c r="B62" s="163"/>
      <c r="C62" s="106">
        <f>C60</f>
        <v>0</v>
      </c>
      <c r="D62" s="106">
        <f t="shared" ref="D62:AM62" si="232">D60</f>
        <v>0</v>
      </c>
      <c r="E62" s="106">
        <f t="shared" si="232"/>
        <v>0</v>
      </c>
      <c r="F62" s="106">
        <f t="shared" si="232"/>
        <v>0</v>
      </c>
      <c r="G62" s="106">
        <f t="shared" si="232"/>
        <v>0</v>
      </c>
      <c r="H62" s="106">
        <f t="shared" si="232"/>
        <v>0</v>
      </c>
      <c r="I62" s="106">
        <f t="shared" si="232"/>
        <v>0</v>
      </c>
      <c r="J62" s="106">
        <f t="shared" si="232"/>
        <v>0</v>
      </c>
      <c r="K62" s="106">
        <f t="shared" si="232"/>
        <v>0</v>
      </c>
      <c r="L62" s="106">
        <f t="shared" si="232"/>
        <v>0</v>
      </c>
      <c r="M62" s="106">
        <f t="shared" si="232"/>
        <v>0</v>
      </c>
      <c r="N62" s="106">
        <f t="shared" si="232"/>
        <v>0</v>
      </c>
      <c r="O62" s="106">
        <f t="shared" si="232"/>
        <v>0</v>
      </c>
      <c r="P62" s="106">
        <f t="shared" si="232"/>
        <v>0</v>
      </c>
      <c r="Q62" s="106">
        <f t="shared" si="232"/>
        <v>0</v>
      </c>
      <c r="R62" s="106">
        <f t="shared" si="232"/>
        <v>0</v>
      </c>
      <c r="S62" s="106">
        <f t="shared" si="232"/>
        <v>0</v>
      </c>
      <c r="T62" s="106">
        <f t="shared" si="232"/>
        <v>0</v>
      </c>
      <c r="U62" s="106">
        <f t="shared" si="232"/>
        <v>0</v>
      </c>
      <c r="V62" s="106">
        <f t="shared" si="232"/>
        <v>0</v>
      </c>
      <c r="W62" s="106">
        <f t="shared" si="232"/>
        <v>0</v>
      </c>
      <c r="X62" s="106">
        <f t="shared" si="232"/>
        <v>0</v>
      </c>
      <c r="Y62" s="106">
        <f t="shared" si="232"/>
        <v>0</v>
      </c>
      <c r="Z62" s="106">
        <f t="shared" si="232"/>
        <v>0</v>
      </c>
      <c r="AA62" s="106">
        <f t="shared" si="232"/>
        <v>0</v>
      </c>
      <c r="AB62" s="106">
        <f t="shared" si="232"/>
        <v>0</v>
      </c>
      <c r="AC62" s="106">
        <f t="shared" si="232"/>
        <v>0</v>
      </c>
      <c r="AD62" s="106">
        <f t="shared" si="232"/>
        <v>0</v>
      </c>
      <c r="AE62" s="106">
        <f t="shared" si="232"/>
        <v>0</v>
      </c>
      <c r="AF62" s="106">
        <f t="shared" si="232"/>
        <v>0</v>
      </c>
      <c r="AG62" s="106">
        <f t="shared" si="232"/>
        <v>0</v>
      </c>
      <c r="AH62" s="106">
        <f t="shared" si="232"/>
        <v>0</v>
      </c>
      <c r="AI62" s="106">
        <f t="shared" si="232"/>
        <v>0</v>
      </c>
      <c r="AJ62" s="106">
        <f t="shared" si="232"/>
        <v>0</v>
      </c>
      <c r="AK62" s="106">
        <f t="shared" si="232"/>
        <v>0</v>
      </c>
      <c r="AL62" s="106">
        <f t="shared" si="232"/>
        <v>0</v>
      </c>
      <c r="AM62" s="106">
        <f t="shared" si="232"/>
        <v>0</v>
      </c>
      <c r="AN62" s="106">
        <f t="shared" ref="AN62:AP62" si="233">AN60</f>
        <v>0</v>
      </c>
      <c r="AO62" s="106">
        <f t="shared" si="233"/>
        <v>0</v>
      </c>
      <c r="AP62" s="106">
        <f t="shared" si="233"/>
        <v>0</v>
      </c>
      <c r="AQ62" s="106">
        <f t="shared" ref="AQ62:AS62" si="234">AQ60</f>
        <v>0</v>
      </c>
      <c r="AR62" s="106">
        <f t="shared" si="234"/>
        <v>0</v>
      </c>
      <c r="AS62" s="106">
        <f t="shared" si="234"/>
        <v>0</v>
      </c>
      <c r="AT62" s="106">
        <f t="shared" ref="AT62:AY62" si="235">AT60</f>
        <v>0</v>
      </c>
      <c r="AU62" s="106">
        <f t="shared" si="235"/>
        <v>0</v>
      </c>
      <c r="AV62" s="106">
        <f t="shared" si="235"/>
        <v>0</v>
      </c>
      <c r="AW62" s="106">
        <f t="shared" si="235"/>
        <v>0</v>
      </c>
      <c r="AX62" s="106">
        <f t="shared" si="235"/>
        <v>0</v>
      </c>
      <c r="AY62" s="106">
        <f t="shared" si="235"/>
        <v>0</v>
      </c>
      <c r="AZ62" s="106">
        <f t="shared" ref="AZ62:BE62" si="236">AZ60</f>
        <v>0</v>
      </c>
      <c r="BA62" s="106">
        <f t="shared" si="236"/>
        <v>0</v>
      </c>
      <c r="BB62" s="106">
        <f t="shared" si="236"/>
        <v>0</v>
      </c>
      <c r="BC62" s="106">
        <f t="shared" si="236"/>
        <v>0</v>
      </c>
      <c r="BD62" s="106">
        <f t="shared" si="236"/>
        <v>0</v>
      </c>
      <c r="BE62" s="106">
        <f t="shared" si="236"/>
        <v>0</v>
      </c>
      <c r="BF62" s="106">
        <f t="shared" ref="BF62:BG62" si="237">BF60</f>
        <v>0</v>
      </c>
      <c r="BG62" s="106">
        <f t="shared" si="237"/>
        <v>0</v>
      </c>
      <c r="BH62" s="106">
        <f t="shared" ref="BH62" si="238">BH60</f>
        <v>0</v>
      </c>
      <c r="BI62" s="106"/>
    </row>
    <row r="63" spans="1:61" hidden="1" x14ac:dyDescent="0.2">
      <c r="A63" t="s">
        <v>647</v>
      </c>
      <c r="B63" s="31"/>
      <c r="C63" s="10">
        <f>IF(C62&gt;0,'Blended Water Cost Summary'!$F$16,0)</f>
        <v>0</v>
      </c>
      <c r="D63" s="10">
        <f>IF(D62&gt;0,'Blended Water Cost Summary'!$F$16,0)</f>
        <v>0</v>
      </c>
      <c r="E63" s="10">
        <f>IF(E62&gt;0,'Blended Water Cost Summary'!$F$16,0)</f>
        <v>0</v>
      </c>
      <c r="F63" s="10">
        <f>IF(F62&gt;0,'Blended Water Cost Summary'!$F$16,0)</f>
        <v>0</v>
      </c>
      <c r="G63" s="10">
        <f>IF(G62&gt;0,'Blended Water Cost Summary'!$F$16,0)</f>
        <v>0</v>
      </c>
      <c r="H63" s="10">
        <f>IF(H62&gt;0,'Blended Water Cost Summary'!$F$16,0)</f>
        <v>0</v>
      </c>
      <c r="I63" s="10">
        <f>IF(I62&gt;0,'Blended Water Cost Summary'!$F$16,0)</f>
        <v>0</v>
      </c>
      <c r="J63" s="10">
        <f>IF(J62&gt;0,'Blended Water Cost Summary'!$F$16,0)</f>
        <v>0</v>
      </c>
      <c r="K63" s="10">
        <f>IF(K62&gt;0,'Blended Water Cost Summary'!$F$16,0)</f>
        <v>0</v>
      </c>
      <c r="L63" s="10">
        <f>IF(L62&gt;0,'Blended Water Cost Summary'!$F$16,0)</f>
        <v>0</v>
      </c>
      <c r="M63" s="10">
        <f>IF(M62&gt;0,'Blended Water Cost Summary'!$F$16,0)</f>
        <v>0</v>
      </c>
      <c r="N63" s="10">
        <f>IF(N62&gt;0,'Blended Water Cost Summary'!$F$16,0)</f>
        <v>0</v>
      </c>
      <c r="O63" s="10">
        <f>IF(O62&gt;0,'Blended Water Cost Summary'!$F$16,0)</f>
        <v>0</v>
      </c>
      <c r="P63" s="10">
        <f>IF(P62&gt;0,'Blended Water Cost Summary'!$F$16,0)</f>
        <v>0</v>
      </c>
      <c r="Q63" s="10">
        <f>IF(Q62&gt;0,'Blended Water Cost Summary'!$F$16,0)</f>
        <v>0</v>
      </c>
      <c r="R63" s="10">
        <f>IF(R62&gt;0,'Blended Water Cost Summary'!$F$16,0)</f>
        <v>0</v>
      </c>
      <c r="S63" s="10">
        <f>IF(S62&gt;0,'Blended Water Cost Summary'!$F$16,0)</f>
        <v>0</v>
      </c>
      <c r="T63" s="10">
        <f>IF(T62&gt;0,'Blended Water Cost Summary'!$F$16,0)</f>
        <v>0</v>
      </c>
      <c r="U63" s="10">
        <f>IF(U62&gt;0,'Blended Water Cost Summary'!$F$16,0)</f>
        <v>0</v>
      </c>
      <c r="V63" s="10">
        <f>IF(V62&gt;0,'Blended Water Cost Summary'!$F$16,0)</f>
        <v>0</v>
      </c>
      <c r="W63" s="10">
        <f>IF(W62&gt;0,'Blended Water Cost Summary'!$F$16,0)</f>
        <v>0</v>
      </c>
      <c r="X63" s="10">
        <f>IF(X62&gt;0,'Blended Water Cost Summary'!$F$16,0)</f>
        <v>0</v>
      </c>
      <c r="Y63" s="10">
        <f>IF(Y62&gt;0,'Blended Water Cost Summary'!$F$16,0)</f>
        <v>0</v>
      </c>
      <c r="Z63" s="10">
        <f>IF(Z62&gt;0,'Blended Water Cost Summary'!$F$16,0)</f>
        <v>0</v>
      </c>
      <c r="AA63" s="10">
        <f>IF(AA62&gt;0,'Blended Water Cost Summary'!$F$16,0)</f>
        <v>0</v>
      </c>
      <c r="AB63" s="10">
        <f>IF(AB62&gt;0,'Blended Water Cost Summary'!$F$16,0)</f>
        <v>0</v>
      </c>
      <c r="AC63" s="10">
        <f>IF(AC62&gt;0,'Blended Water Cost Summary'!$F$16,0)</f>
        <v>0</v>
      </c>
      <c r="AD63" s="10">
        <f>IF(AD62&gt;0,'Blended Water Cost Summary'!$F$16,0)</f>
        <v>0</v>
      </c>
      <c r="AE63" s="10">
        <f>IF(AE62&gt;0,'Blended Water Cost Summary'!$F$16,0)</f>
        <v>0</v>
      </c>
      <c r="AF63" s="10">
        <f>IF(AF62&gt;0,'Blended Water Cost Summary'!$F$16,0)</f>
        <v>0</v>
      </c>
      <c r="AG63" s="10">
        <f>IF(AG62&gt;0,'Blended Water Cost Summary'!$F$16,0)</f>
        <v>0</v>
      </c>
      <c r="AH63" s="10">
        <f>IF(AH62&gt;0,'Blended Water Cost Summary'!$F$16,0)</f>
        <v>0</v>
      </c>
      <c r="AI63" s="10">
        <f>IF(AI62&gt;0,'Blended Water Cost Summary'!$F$16,0)</f>
        <v>0</v>
      </c>
      <c r="AJ63" s="10">
        <f>IF(AJ62&gt;0,'Blended Water Cost Summary'!$F$16,0)</f>
        <v>0</v>
      </c>
      <c r="AK63" s="10">
        <f>IF(AK62&gt;0,'Blended Water Cost Summary'!$F$16,0)</f>
        <v>0</v>
      </c>
      <c r="AL63" s="10">
        <f>IF(AL62&gt;0,'Blended Water Cost Summary'!$F$16,0)</f>
        <v>0</v>
      </c>
      <c r="AM63" s="10">
        <f>IF(AM62&gt;0,'Blended Water Cost Summary'!$F$16,0)</f>
        <v>0</v>
      </c>
      <c r="AN63" s="10">
        <f>IF(AN62&gt;0,'Blended Water Cost Summary'!$F$16,0)</f>
        <v>0</v>
      </c>
      <c r="AO63" s="10">
        <f>IF(AO62&gt;0,'Blended Water Cost Summary'!$F$16,0)</f>
        <v>0</v>
      </c>
      <c r="AP63" s="10">
        <f>IF(AP62&gt;0,'Blended Water Cost Summary'!$F$16,0)</f>
        <v>0</v>
      </c>
      <c r="AQ63" s="10">
        <f>IF(AQ62&gt;0,'Blended Water Cost Summary'!$F$16,0)</f>
        <v>0</v>
      </c>
      <c r="AR63" s="10">
        <f>IF(AR62&gt;0,'Blended Water Cost Summary'!$F$16,0)</f>
        <v>0</v>
      </c>
      <c r="AS63" s="10">
        <f>IF(AS62&gt;0,'Blended Water Cost Summary'!$F$16,0)</f>
        <v>0</v>
      </c>
      <c r="AT63" s="10">
        <f>IF(AT62&gt;0,'Blended Water Cost Summary'!$F$16,0)</f>
        <v>0</v>
      </c>
      <c r="AU63" s="10">
        <f>IF(AU62&gt;0,'Blended Water Cost Summary'!$F$16,0)</f>
        <v>0</v>
      </c>
      <c r="AV63" s="10">
        <f>IF(AV62&gt;0,'Blended Water Cost Summary'!$F$16,0)</f>
        <v>0</v>
      </c>
      <c r="AW63" s="10">
        <f>IF(AW62&gt;0,'Blended Water Cost Summary'!$F$16,0)</f>
        <v>0</v>
      </c>
      <c r="AX63" s="10">
        <f>IF(AX62&gt;0,'Blended Water Cost Summary'!$F$16,0)</f>
        <v>0</v>
      </c>
      <c r="AY63" s="10">
        <f>IF(AY62&gt;0,'Blended Water Cost Summary'!$F$16,0)</f>
        <v>0</v>
      </c>
      <c r="AZ63" s="10">
        <f>IF(AZ62&gt;0,'Blended Water Cost Summary'!$F$16,0)</f>
        <v>0</v>
      </c>
      <c r="BA63" s="10">
        <f>IF(BA62&gt;0,'Blended Water Cost Summary'!$F$16,0)</f>
        <v>0</v>
      </c>
      <c r="BB63" s="10">
        <f>IF(BB62&gt;0,'Blended Water Cost Summary'!$F$16,0)</f>
        <v>0</v>
      </c>
      <c r="BC63" s="10">
        <f>IF(BC62&gt;0,'Blended Water Cost Summary'!$F$16,0)</f>
        <v>0</v>
      </c>
      <c r="BD63" s="10">
        <f>IF(BD62&gt;0,'Blended Water Cost Summary'!$F$16,0)</f>
        <v>0</v>
      </c>
      <c r="BE63" s="10">
        <f>IF(BE62&gt;0,'Blended Water Cost Summary'!$F$16,0)</f>
        <v>0</v>
      </c>
      <c r="BF63" s="10">
        <f>IF(BF62&gt;0,'Blended Water Cost Summary'!$F$16,0)</f>
        <v>0</v>
      </c>
      <c r="BG63" s="10">
        <f>IF(BG62&gt;0,'Blended Water Cost Summary'!$F$16,0)</f>
        <v>0</v>
      </c>
      <c r="BH63" s="10">
        <f>IF(BH62&gt;0,'Blended Water Cost Summary'!$F$16,0)</f>
        <v>0</v>
      </c>
      <c r="BI63" s="10"/>
    </row>
    <row r="64" spans="1:61" s="82" customFormat="1" hidden="1" x14ac:dyDescent="0.2">
      <c r="A64" s="82" t="s">
        <v>646</v>
      </c>
      <c r="B64" s="156"/>
      <c r="C64" s="83">
        <f t="shared" ref="C64:AM64" si="239">C62*C63</f>
        <v>0</v>
      </c>
      <c r="D64" s="83">
        <f t="shared" si="239"/>
        <v>0</v>
      </c>
      <c r="E64" s="83">
        <f t="shared" si="239"/>
        <v>0</v>
      </c>
      <c r="F64" s="83">
        <f t="shared" si="239"/>
        <v>0</v>
      </c>
      <c r="G64" s="83">
        <f t="shared" si="239"/>
        <v>0</v>
      </c>
      <c r="H64" s="83">
        <f t="shared" si="239"/>
        <v>0</v>
      </c>
      <c r="I64" s="83">
        <f t="shared" si="239"/>
        <v>0</v>
      </c>
      <c r="J64" s="83">
        <f t="shared" si="239"/>
        <v>0</v>
      </c>
      <c r="K64" s="83">
        <f t="shared" si="239"/>
        <v>0</v>
      </c>
      <c r="L64" s="83">
        <f t="shared" si="239"/>
        <v>0</v>
      </c>
      <c r="M64" s="83">
        <f t="shared" si="239"/>
        <v>0</v>
      </c>
      <c r="N64" s="83">
        <f t="shared" si="239"/>
        <v>0</v>
      </c>
      <c r="O64" s="83">
        <f t="shared" si="239"/>
        <v>0</v>
      </c>
      <c r="P64" s="83">
        <f t="shared" si="239"/>
        <v>0</v>
      </c>
      <c r="Q64" s="83">
        <f t="shared" si="239"/>
        <v>0</v>
      </c>
      <c r="R64" s="83">
        <f t="shared" si="239"/>
        <v>0</v>
      </c>
      <c r="S64" s="83">
        <f t="shared" si="239"/>
        <v>0</v>
      </c>
      <c r="T64" s="83">
        <f t="shared" si="239"/>
        <v>0</v>
      </c>
      <c r="U64" s="83">
        <f t="shared" si="239"/>
        <v>0</v>
      </c>
      <c r="V64" s="83">
        <f t="shared" si="239"/>
        <v>0</v>
      </c>
      <c r="W64" s="83">
        <f t="shared" si="239"/>
        <v>0</v>
      </c>
      <c r="X64" s="83">
        <f t="shared" si="239"/>
        <v>0</v>
      </c>
      <c r="Y64" s="83">
        <f t="shared" si="239"/>
        <v>0</v>
      </c>
      <c r="Z64" s="83">
        <f t="shared" si="239"/>
        <v>0</v>
      </c>
      <c r="AA64" s="83">
        <f t="shared" si="239"/>
        <v>0</v>
      </c>
      <c r="AB64" s="83">
        <f t="shared" si="239"/>
        <v>0</v>
      </c>
      <c r="AC64" s="83">
        <f t="shared" si="239"/>
        <v>0</v>
      </c>
      <c r="AD64" s="83">
        <f t="shared" si="239"/>
        <v>0</v>
      </c>
      <c r="AE64" s="83">
        <f t="shared" si="239"/>
        <v>0</v>
      </c>
      <c r="AF64" s="83">
        <f t="shared" si="239"/>
        <v>0</v>
      </c>
      <c r="AG64" s="83">
        <f t="shared" si="239"/>
        <v>0</v>
      </c>
      <c r="AH64" s="83">
        <f t="shared" si="239"/>
        <v>0</v>
      </c>
      <c r="AI64" s="83">
        <f t="shared" si="239"/>
        <v>0</v>
      </c>
      <c r="AJ64" s="83">
        <f t="shared" si="239"/>
        <v>0</v>
      </c>
      <c r="AK64" s="83">
        <f t="shared" si="239"/>
        <v>0</v>
      </c>
      <c r="AL64" s="83">
        <f t="shared" si="239"/>
        <v>0</v>
      </c>
      <c r="AM64" s="83">
        <f t="shared" si="239"/>
        <v>0</v>
      </c>
      <c r="AN64" s="83">
        <f t="shared" ref="AN64:AP64" si="240">AN62*AN63</f>
        <v>0</v>
      </c>
      <c r="AO64" s="83">
        <f t="shared" si="240"/>
        <v>0</v>
      </c>
      <c r="AP64" s="83">
        <f t="shared" si="240"/>
        <v>0</v>
      </c>
      <c r="AQ64" s="83">
        <f t="shared" ref="AQ64:AS64" si="241">AQ62*AQ63</f>
        <v>0</v>
      </c>
      <c r="AR64" s="83">
        <f t="shared" si="241"/>
        <v>0</v>
      </c>
      <c r="AS64" s="83">
        <f t="shared" si="241"/>
        <v>0</v>
      </c>
      <c r="AT64" s="83">
        <f t="shared" ref="AT64:AY64" si="242">AT62*AT63</f>
        <v>0</v>
      </c>
      <c r="AU64" s="83">
        <f t="shared" si="242"/>
        <v>0</v>
      </c>
      <c r="AV64" s="83">
        <f t="shared" si="242"/>
        <v>0</v>
      </c>
      <c r="AW64" s="83">
        <f t="shared" si="242"/>
        <v>0</v>
      </c>
      <c r="AX64" s="83">
        <f t="shared" si="242"/>
        <v>0</v>
      </c>
      <c r="AY64" s="83">
        <f t="shared" si="242"/>
        <v>0</v>
      </c>
      <c r="AZ64" s="83">
        <f t="shared" ref="AZ64:BE64" si="243">AZ62*AZ63</f>
        <v>0</v>
      </c>
      <c r="BA64" s="83">
        <f t="shared" si="243"/>
        <v>0</v>
      </c>
      <c r="BB64" s="83">
        <f t="shared" si="243"/>
        <v>0</v>
      </c>
      <c r="BC64" s="83">
        <f t="shared" si="243"/>
        <v>0</v>
      </c>
      <c r="BD64" s="83">
        <f t="shared" si="243"/>
        <v>0</v>
      </c>
      <c r="BE64" s="83">
        <f t="shared" si="243"/>
        <v>0</v>
      </c>
      <c r="BF64" s="83">
        <f t="shared" ref="BF64:BG64" si="244">BF62*BF63</f>
        <v>0</v>
      </c>
      <c r="BG64" s="83">
        <f t="shared" si="244"/>
        <v>0</v>
      </c>
      <c r="BH64" s="83">
        <f t="shared" ref="BH64" si="245">BH62*BH63</f>
        <v>0</v>
      </c>
      <c r="BI64" s="83"/>
    </row>
    <row r="65" spans="1:61" s="104" customFormat="1" hidden="1" x14ac:dyDescent="0.2">
      <c r="B65" s="160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</row>
    <row r="66" spans="1:61" x14ac:dyDescent="0.2">
      <c r="A66" s="1" t="s">
        <v>806</v>
      </c>
      <c r="B66" s="3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:61" x14ac:dyDescent="0.2">
      <c r="A67" t="s">
        <v>651</v>
      </c>
      <c r="B67" s="31"/>
      <c r="C67" s="122">
        <f t="shared" ref="C67:F67" si="246" xml:space="preserve"> D68</f>
        <v>0</v>
      </c>
      <c r="D67" s="122">
        <f t="shared" si="246"/>
        <v>0</v>
      </c>
      <c r="E67" s="122">
        <f t="shared" si="246"/>
        <v>0</v>
      </c>
      <c r="F67" s="122">
        <f t="shared" si="246"/>
        <v>0</v>
      </c>
      <c r="G67" s="122">
        <f xml:space="preserve"> H68</f>
        <v>1</v>
      </c>
      <c r="H67" s="122">
        <f t="shared" ref="H67:AL67" si="247" xml:space="preserve"> I68</f>
        <v>1</v>
      </c>
      <c r="I67" s="122">
        <f t="shared" si="247"/>
        <v>1</v>
      </c>
      <c r="J67" s="122">
        <f t="shared" si="247"/>
        <v>2</v>
      </c>
      <c r="K67" s="122">
        <f t="shared" si="247"/>
        <v>3</v>
      </c>
      <c r="L67" s="122">
        <f t="shared" si="247"/>
        <v>2</v>
      </c>
      <c r="M67" s="122">
        <f t="shared" si="247"/>
        <v>3</v>
      </c>
      <c r="N67" s="122">
        <f t="shared" si="247"/>
        <v>4</v>
      </c>
      <c r="O67" s="122">
        <f t="shared" si="247"/>
        <v>4</v>
      </c>
      <c r="P67" s="122">
        <f t="shared" si="247"/>
        <v>3</v>
      </c>
      <c r="Q67" s="122">
        <f t="shared" si="247"/>
        <v>4</v>
      </c>
      <c r="R67" s="122">
        <f t="shared" si="247"/>
        <v>3</v>
      </c>
      <c r="S67" s="122">
        <f t="shared" si="247"/>
        <v>4</v>
      </c>
      <c r="T67" s="122">
        <f t="shared" si="247"/>
        <v>4</v>
      </c>
      <c r="U67" s="122">
        <f t="shared" si="247"/>
        <v>4</v>
      </c>
      <c r="V67" s="122">
        <f t="shared" si="247"/>
        <v>3</v>
      </c>
      <c r="W67" s="122">
        <f t="shared" si="247"/>
        <v>4</v>
      </c>
      <c r="X67" s="122">
        <f t="shared" si="247"/>
        <v>4</v>
      </c>
      <c r="Y67" s="122">
        <f t="shared" si="247"/>
        <v>4</v>
      </c>
      <c r="Z67" s="122">
        <f t="shared" si="247"/>
        <v>4</v>
      </c>
      <c r="AA67" s="122">
        <f t="shared" si="247"/>
        <v>3</v>
      </c>
      <c r="AB67" s="122">
        <f t="shared" si="247"/>
        <v>4</v>
      </c>
      <c r="AC67" s="122">
        <f t="shared" si="247"/>
        <v>4</v>
      </c>
      <c r="AD67" s="122">
        <f t="shared" si="247"/>
        <v>4</v>
      </c>
      <c r="AE67" s="122">
        <f t="shared" si="247"/>
        <v>4</v>
      </c>
      <c r="AF67" s="122">
        <f t="shared" si="247"/>
        <v>4</v>
      </c>
      <c r="AG67" s="122">
        <f t="shared" si="247"/>
        <v>4</v>
      </c>
      <c r="AH67" s="122">
        <f t="shared" si="247"/>
        <v>5</v>
      </c>
      <c r="AI67" s="122">
        <f t="shared" si="247"/>
        <v>4</v>
      </c>
      <c r="AJ67" s="122">
        <f t="shared" si="247"/>
        <v>4</v>
      </c>
      <c r="AK67" s="122">
        <f t="shared" si="247"/>
        <v>4</v>
      </c>
      <c r="AL67" s="122">
        <f t="shared" si="247"/>
        <v>0</v>
      </c>
      <c r="AM67" s="122">
        <f t="shared" ref="AM67:BH67" si="248" xml:space="preserve"> BI68</f>
        <v>0</v>
      </c>
      <c r="AN67" s="122">
        <f t="shared" si="248"/>
        <v>0</v>
      </c>
      <c r="AO67" s="122">
        <f t="shared" si="248"/>
        <v>0</v>
      </c>
      <c r="AP67" s="122">
        <f t="shared" si="248"/>
        <v>0</v>
      </c>
      <c r="AQ67" s="122">
        <f t="shared" si="248"/>
        <v>0</v>
      </c>
      <c r="AR67" s="122">
        <f t="shared" si="248"/>
        <v>0</v>
      </c>
      <c r="AS67" s="122">
        <f t="shared" si="248"/>
        <v>0</v>
      </c>
      <c r="AT67" s="122">
        <f t="shared" si="248"/>
        <v>0</v>
      </c>
      <c r="AU67" s="122">
        <f t="shared" si="248"/>
        <v>0</v>
      </c>
      <c r="AV67" s="122">
        <f t="shared" si="248"/>
        <v>0</v>
      </c>
      <c r="AW67" s="122">
        <f t="shared" si="248"/>
        <v>0</v>
      </c>
      <c r="AX67" s="122">
        <f t="shared" si="248"/>
        <v>0</v>
      </c>
      <c r="AY67" s="122">
        <f t="shared" si="248"/>
        <v>0</v>
      </c>
      <c r="AZ67" s="122">
        <f t="shared" si="248"/>
        <v>0</v>
      </c>
      <c r="BA67" s="122">
        <f t="shared" si="248"/>
        <v>0</v>
      </c>
      <c r="BB67" s="122">
        <f t="shared" si="248"/>
        <v>0</v>
      </c>
      <c r="BC67" s="122">
        <f t="shared" si="248"/>
        <v>0</v>
      </c>
      <c r="BD67" s="122">
        <f t="shared" si="248"/>
        <v>0</v>
      </c>
      <c r="BE67" s="122">
        <f t="shared" si="248"/>
        <v>0</v>
      </c>
      <c r="BF67" s="122">
        <f t="shared" si="248"/>
        <v>0</v>
      </c>
      <c r="BG67" s="122">
        <f t="shared" si="248"/>
        <v>0</v>
      </c>
      <c r="BH67" s="122">
        <f t="shared" si="248"/>
        <v>0</v>
      </c>
    </row>
    <row r="68" spans="1:61" x14ac:dyDescent="0.2">
      <c r="A68" t="s">
        <v>652</v>
      </c>
      <c r="B68" s="31"/>
      <c r="C68" s="122">
        <f t="shared" ref="C68:G68" si="249" xml:space="preserve"> D69-C69</f>
        <v>0</v>
      </c>
      <c r="D68" s="122">
        <f t="shared" si="249"/>
        <v>0</v>
      </c>
      <c r="E68" s="122">
        <f t="shared" si="249"/>
        <v>0</v>
      </c>
      <c r="F68" s="122">
        <f t="shared" si="249"/>
        <v>0</v>
      </c>
      <c r="G68" s="122">
        <f t="shared" si="249"/>
        <v>0</v>
      </c>
      <c r="H68" s="122">
        <f xml:space="preserve"> I69-H69</f>
        <v>1</v>
      </c>
      <c r="I68" s="122">
        <f t="shared" ref="I68:AL68" si="250" xml:space="preserve"> J69-I69</f>
        <v>1</v>
      </c>
      <c r="J68" s="122">
        <f t="shared" si="250"/>
        <v>1</v>
      </c>
      <c r="K68" s="122">
        <f t="shared" si="250"/>
        <v>2</v>
      </c>
      <c r="L68" s="122">
        <f t="shared" si="250"/>
        <v>3</v>
      </c>
      <c r="M68" s="122">
        <f t="shared" si="250"/>
        <v>2</v>
      </c>
      <c r="N68" s="122">
        <f t="shared" si="250"/>
        <v>3</v>
      </c>
      <c r="O68" s="122">
        <f t="shared" si="250"/>
        <v>4</v>
      </c>
      <c r="P68" s="122">
        <f t="shared" si="250"/>
        <v>4</v>
      </c>
      <c r="Q68" s="122">
        <f t="shared" si="250"/>
        <v>3</v>
      </c>
      <c r="R68" s="122">
        <f t="shared" si="250"/>
        <v>4</v>
      </c>
      <c r="S68" s="122">
        <f t="shared" si="250"/>
        <v>3</v>
      </c>
      <c r="T68" s="122">
        <f t="shared" si="250"/>
        <v>4</v>
      </c>
      <c r="U68" s="122">
        <f t="shared" si="250"/>
        <v>4</v>
      </c>
      <c r="V68" s="122">
        <f t="shared" si="250"/>
        <v>4</v>
      </c>
      <c r="W68" s="122">
        <f t="shared" si="250"/>
        <v>3</v>
      </c>
      <c r="X68" s="122">
        <f t="shared" si="250"/>
        <v>4</v>
      </c>
      <c r="Y68" s="122">
        <f t="shared" si="250"/>
        <v>4</v>
      </c>
      <c r="Z68" s="122">
        <f t="shared" si="250"/>
        <v>4</v>
      </c>
      <c r="AA68" s="122">
        <f t="shared" si="250"/>
        <v>4</v>
      </c>
      <c r="AB68" s="122">
        <f t="shared" si="250"/>
        <v>3</v>
      </c>
      <c r="AC68" s="122">
        <f t="shared" si="250"/>
        <v>4</v>
      </c>
      <c r="AD68" s="122">
        <f t="shared" si="250"/>
        <v>4</v>
      </c>
      <c r="AE68" s="122">
        <f t="shared" si="250"/>
        <v>4</v>
      </c>
      <c r="AF68" s="122">
        <f t="shared" si="250"/>
        <v>4</v>
      </c>
      <c r="AG68" s="122">
        <f t="shared" si="250"/>
        <v>4</v>
      </c>
      <c r="AH68" s="122">
        <f t="shared" si="250"/>
        <v>4</v>
      </c>
      <c r="AI68" s="122">
        <f t="shared" si="250"/>
        <v>5</v>
      </c>
      <c r="AJ68" s="122">
        <f t="shared" si="250"/>
        <v>4</v>
      </c>
      <c r="AK68" s="122">
        <f t="shared" si="250"/>
        <v>4</v>
      </c>
      <c r="AL68" s="122">
        <f t="shared" si="250"/>
        <v>4</v>
      </c>
      <c r="AM68" s="122">
        <v>0</v>
      </c>
      <c r="AN68" s="122">
        <v>0</v>
      </c>
      <c r="AO68" s="122">
        <v>0</v>
      </c>
      <c r="AP68" s="122">
        <v>0</v>
      </c>
      <c r="AQ68" s="122">
        <v>0</v>
      </c>
      <c r="AR68" s="122">
        <v>0</v>
      </c>
      <c r="AS68" s="122">
        <v>0</v>
      </c>
      <c r="AT68" s="122">
        <v>0</v>
      </c>
      <c r="AU68" s="122">
        <v>0</v>
      </c>
      <c r="AV68" s="122">
        <v>0</v>
      </c>
      <c r="AW68" s="122">
        <v>0</v>
      </c>
      <c r="AX68" s="122">
        <v>0</v>
      </c>
      <c r="AY68" s="122">
        <v>0</v>
      </c>
      <c r="AZ68" s="122">
        <v>0</v>
      </c>
      <c r="BA68" s="122">
        <v>0</v>
      </c>
      <c r="BB68" s="122">
        <v>0</v>
      </c>
      <c r="BC68" s="122">
        <v>0</v>
      </c>
      <c r="BD68" s="122">
        <v>0</v>
      </c>
      <c r="BE68" s="122">
        <v>0</v>
      </c>
      <c r="BF68" s="122">
        <v>0</v>
      </c>
      <c r="BG68" s="122">
        <v>0</v>
      </c>
      <c r="BH68" s="122">
        <v>0</v>
      </c>
    </row>
    <row r="69" spans="1:61" x14ac:dyDescent="0.2">
      <c r="A69" t="s">
        <v>653</v>
      </c>
      <c r="B69" s="31"/>
      <c r="C69" s="122">
        <f xml:space="preserve"> ROUNDDOWN(C112/1000,0)</f>
        <v>0</v>
      </c>
      <c r="D69" s="122">
        <f t="shared" ref="D69:AM69" si="251" xml:space="preserve"> ROUNDDOWN(D112/1000,0)</f>
        <v>0</v>
      </c>
      <c r="E69" s="122">
        <f t="shared" si="251"/>
        <v>0</v>
      </c>
      <c r="F69" s="122">
        <f t="shared" si="251"/>
        <v>0</v>
      </c>
      <c r="G69" s="122">
        <f t="shared" si="251"/>
        <v>0</v>
      </c>
      <c r="H69" s="122">
        <f t="shared" si="251"/>
        <v>0</v>
      </c>
      <c r="I69" s="122">
        <f t="shared" si="251"/>
        <v>1</v>
      </c>
      <c r="J69" s="122">
        <f t="shared" si="251"/>
        <v>2</v>
      </c>
      <c r="K69" s="122">
        <f t="shared" si="251"/>
        <v>3</v>
      </c>
      <c r="L69" s="122">
        <f t="shared" si="251"/>
        <v>5</v>
      </c>
      <c r="M69" s="122">
        <f t="shared" si="251"/>
        <v>8</v>
      </c>
      <c r="N69" s="122">
        <f t="shared" si="251"/>
        <v>10</v>
      </c>
      <c r="O69" s="122">
        <f t="shared" si="251"/>
        <v>13</v>
      </c>
      <c r="P69" s="122">
        <f t="shared" si="251"/>
        <v>17</v>
      </c>
      <c r="Q69" s="122">
        <f t="shared" si="251"/>
        <v>21</v>
      </c>
      <c r="R69" s="122">
        <f t="shared" si="251"/>
        <v>24</v>
      </c>
      <c r="S69" s="122">
        <f t="shared" si="251"/>
        <v>28</v>
      </c>
      <c r="T69" s="122">
        <f t="shared" si="251"/>
        <v>31</v>
      </c>
      <c r="U69" s="122">
        <f t="shared" si="251"/>
        <v>35</v>
      </c>
      <c r="V69" s="122">
        <f t="shared" si="251"/>
        <v>39</v>
      </c>
      <c r="W69" s="122">
        <f t="shared" si="251"/>
        <v>43</v>
      </c>
      <c r="X69" s="122">
        <f t="shared" si="251"/>
        <v>46</v>
      </c>
      <c r="Y69" s="122">
        <f t="shared" si="251"/>
        <v>50</v>
      </c>
      <c r="Z69" s="122">
        <f t="shared" si="251"/>
        <v>54</v>
      </c>
      <c r="AA69" s="122">
        <f t="shared" si="251"/>
        <v>58</v>
      </c>
      <c r="AB69" s="122">
        <f t="shared" si="251"/>
        <v>62</v>
      </c>
      <c r="AC69" s="122">
        <f t="shared" si="251"/>
        <v>65</v>
      </c>
      <c r="AD69" s="122">
        <f t="shared" si="251"/>
        <v>69</v>
      </c>
      <c r="AE69" s="122">
        <f t="shared" si="251"/>
        <v>73</v>
      </c>
      <c r="AF69" s="122">
        <f t="shared" si="251"/>
        <v>77</v>
      </c>
      <c r="AG69" s="122">
        <f t="shared" si="251"/>
        <v>81</v>
      </c>
      <c r="AH69" s="122">
        <f t="shared" si="251"/>
        <v>85</v>
      </c>
      <c r="AI69" s="122">
        <f t="shared" si="251"/>
        <v>89</v>
      </c>
      <c r="AJ69" s="122">
        <f t="shared" si="251"/>
        <v>94</v>
      </c>
      <c r="AK69" s="122">
        <f t="shared" si="251"/>
        <v>98</v>
      </c>
      <c r="AL69" s="122">
        <f t="shared" si="251"/>
        <v>102</v>
      </c>
      <c r="AM69" s="122">
        <f t="shared" si="251"/>
        <v>106</v>
      </c>
      <c r="AN69" s="122">
        <f t="shared" ref="AN69:AP69" si="252" xml:space="preserve"> ROUNDDOWN(AN112/1000,0)</f>
        <v>110</v>
      </c>
      <c r="AO69" s="122">
        <f t="shared" si="252"/>
        <v>115</v>
      </c>
      <c r="AP69" s="122">
        <f t="shared" si="252"/>
        <v>119</v>
      </c>
      <c r="AQ69" s="122">
        <f t="shared" ref="AQ69:AS69" si="253" xml:space="preserve"> ROUNDDOWN(AQ112/1000,0)</f>
        <v>123</v>
      </c>
      <c r="AR69" s="122">
        <f t="shared" si="253"/>
        <v>128</v>
      </c>
      <c r="AS69" s="122">
        <f t="shared" si="253"/>
        <v>132</v>
      </c>
      <c r="AT69" s="122">
        <f t="shared" ref="AT69:AY69" si="254" xml:space="preserve"> ROUNDDOWN(AT112/1000,0)</f>
        <v>136</v>
      </c>
      <c r="AU69" s="122">
        <f t="shared" si="254"/>
        <v>141</v>
      </c>
      <c r="AV69" s="122">
        <f t="shared" si="254"/>
        <v>145</v>
      </c>
      <c r="AW69" s="122">
        <f t="shared" si="254"/>
        <v>150</v>
      </c>
      <c r="AX69" s="122">
        <f t="shared" si="254"/>
        <v>155</v>
      </c>
      <c r="AY69" s="122">
        <f t="shared" si="254"/>
        <v>159</v>
      </c>
      <c r="AZ69" s="122">
        <f t="shared" ref="AZ69:BE69" si="255" xml:space="preserve"> ROUNDDOWN(AZ112/1000,0)</f>
        <v>164</v>
      </c>
      <c r="BA69" s="122">
        <f t="shared" si="255"/>
        <v>168</v>
      </c>
      <c r="BB69" s="122">
        <f t="shared" si="255"/>
        <v>173</v>
      </c>
      <c r="BC69" s="122">
        <f t="shared" si="255"/>
        <v>178</v>
      </c>
      <c r="BD69" s="122">
        <f t="shared" si="255"/>
        <v>183</v>
      </c>
      <c r="BE69" s="122">
        <f t="shared" si="255"/>
        <v>187</v>
      </c>
      <c r="BF69" s="122">
        <f t="shared" ref="BF69:BG69" si="256" xml:space="preserve"> ROUNDDOWN(BF112/1000,0)</f>
        <v>192</v>
      </c>
      <c r="BG69" s="122">
        <f t="shared" si="256"/>
        <v>197</v>
      </c>
      <c r="BH69" s="122">
        <f t="shared" ref="BH69" si="257" xml:space="preserve"> ROUNDDOWN(BH112/1000,0)</f>
        <v>202</v>
      </c>
    </row>
    <row r="70" spans="1:61" s="82" customFormat="1" x14ac:dyDescent="0.2">
      <c r="A70" s="82" t="s">
        <v>664</v>
      </c>
      <c r="B70" s="156"/>
      <c r="C70" s="83">
        <f>C68*'Levellized Salt Sep Plant'!$I$4</f>
        <v>0</v>
      </c>
      <c r="D70" s="83">
        <f>D68*'Levellized Salt Sep Plant'!$I$4</f>
        <v>0</v>
      </c>
      <c r="E70" s="83">
        <f>E68*'Levellized Salt Sep Plant'!$I$4</f>
        <v>0</v>
      </c>
      <c r="F70" s="83">
        <f>F68*'Levellized Salt Sep Plant'!$I$4</f>
        <v>0</v>
      </c>
      <c r="G70" s="83">
        <f>G68*'Levellized Salt Sep Plant'!$I$4</f>
        <v>0</v>
      </c>
      <c r="H70" s="83">
        <f>H68*'Levellized Salt Sep Plant'!$I$4</f>
        <v>2612359.9775052057</v>
      </c>
      <c r="I70" s="83">
        <f>I68*'Levellized Salt Sep Plant'!$I$4</f>
        <v>2612359.9775052057</v>
      </c>
      <c r="J70" s="83">
        <f>J68*'Levellized Salt Sep Plant'!$I$4</f>
        <v>2612359.9775052057</v>
      </c>
      <c r="K70" s="83">
        <f>K68*'Levellized Salt Sep Plant'!$I$4</f>
        <v>5224719.9550104113</v>
      </c>
      <c r="L70" s="83">
        <f>L68*'Levellized Salt Sep Plant'!$I$4</f>
        <v>7837079.9325156175</v>
      </c>
      <c r="M70" s="83">
        <f>M68*'Levellized Salt Sep Plant'!$I$4</f>
        <v>5224719.9550104113</v>
      </c>
      <c r="N70" s="83">
        <f>N68*'Levellized Salt Sep Plant'!$I$4</f>
        <v>7837079.9325156175</v>
      </c>
      <c r="O70" s="83">
        <f>O68*'Levellized Salt Sep Plant'!$I$4</f>
        <v>10449439.910020823</v>
      </c>
      <c r="P70" s="83">
        <f>P68*'Levellized Salt Sep Plant'!$I$4</f>
        <v>10449439.910020823</v>
      </c>
      <c r="Q70" s="83">
        <f>Q68*'Levellized Salt Sep Plant'!$I$4</f>
        <v>7837079.9325156175</v>
      </c>
      <c r="R70" s="83">
        <f>R68*'Levellized Salt Sep Plant'!$I$4</f>
        <v>10449439.910020823</v>
      </c>
      <c r="S70" s="83">
        <f>S68*'Levellized Salt Sep Plant'!$I$4</f>
        <v>7837079.9325156175</v>
      </c>
      <c r="T70" s="83">
        <f>T68*'Levellized Salt Sep Plant'!$I$4</f>
        <v>10449439.910020823</v>
      </c>
      <c r="U70" s="83">
        <f>U68*'Levellized Salt Sep Plant'!$I$4</f>
        <v>10449439.910020823</v>
      </c>
      <c r="V70" s="83">
        <f>V68*'Levellized Salt Sep Plant'!$I$4</f>
        <v>10449439.910020823</v>
      </c>
      <c r="W70" s="83">
        <f>W68*'Levellized Salt Sep Plant'!$I$4</f>
        <v>7837079.9325156175</v>
      </c>
      <c r="X70" s="83">
        <f>X68*'Levellized Salt Sep Plant'!$I$4</f>
        <v>10449439.910020823</v>
      </c>
      <c r="Y70" s="83">
        <f>Y68*'Levellized Salt Sep Plant'!$I$4</f>
        <v>10449439.910020823</v>
      </c>
      <c r="Z70" s="83">
        <f>Z68*'Levellized Salt Sep Plant'!$I$4</f>
        <v>10449439.910020823</v>
      </c>
      <c r="AA70" s="83">
        <f>AA68*'Levellized Salt Sep Plant'!$I$4</f>
        <v>10449439.910020823</v>
      </c>
      <c r="AB70" s="83">
        <f>AB68*'Levellized Salt Sep Plant'!$I$4</f>
        <v>7837079.9325156175</v>
      </c>
      <c r="AC70" s="83">
        <f>AC68*'Levellized Salt Sep Plant'!$I$4</f>
        <v>10449439.910020823</v>
      </c>
      <c r="AD70" s="83">
        <f>AD68*'Levellized Salt Sep Plant'!$I$4</f>
        <v>10449439.910020823</v>
      </c>
      <c r="AE70" s="83">
        <f>AE68*'Levellized Salt Sep Plant'!$I$4</f>
        <v>10449439.910020823</v>
      </c>
      <c r="AF70" s="83">
        <f>AF68*'Levellized Salt Sep Plant'!$I$4</f>
        <v>10449439.910020823</v>
      </c>
      <c r="AG70" s="83">
        <f>AG68*'Levellized Salt Sep Plant'!$I$4</f>
        <v>10449439.910020823</v>
      </c>
      <c r="AH70" s="83">
        <f>AH68*'Levellized Salt Sep Plant'!$I$4</f>
        <v>10449439.910020823</v>
      </c>
      <c r="AI70" s="83">
        <f>AI68*'Levellized Salt Sep Plant'!$I$4</f>
        <v>13061799.887526028</v>
      </c>
      <c r="AJ70" s="83">
        <f>AJ68*'Levellized Salt Sep Plant'!$I$4</f>
        <v>10449439.910020823</v>
      </c>
      <c r="AK70" s="83">
        <f>AK68*'Levellized Salt Sep Plant'!$I$4</f>
        <v>10449439.910020823</v>
      </c>
      <c r="AL70" s="83">
        <f>AL68*'Levellized Salt Sep Plant'!$I$4</f>
        <v>10449439.910020823</v>
      </c>
      <c r="AM70" s="83">
        <f>AM68*'Levellized Salt Sep Plant'!$I$4</f>
        <v>0</v>
      </c>
      <c r="AN70" s="83">
        <f>AN68*'Levellized Salt Sep Plant'!$I$4</f>
        <v>0</v>
      </c>
      <c r="AO70" s="83">
        <f>AO68*'Levellized Salt Sep Plant'!$I$4</f>
        <v>0</v>
      </c>
      <c r="AP70" s="83">
        <f>AP68*'Levellized Salt Sep Plant'!$I$4</f>
        <v>0</v>
      </c>
      <c r="AQ70" s="83">
        <f>AQ68*'Levellized Salt Sep Plant'!$I$4</f>
        <v>0</v>
      </c>
      <c r="AR70" s="83">
        <f>AR68*'Levellized Salt Sep Plant'!$I$4</f>
        <v>0</v>
      </c>
      <c r="AS70" s="83">
        <f>AS68*'Levellized Salt Sep Plant'!$I$4</f>
        <v>0</v>
      </c>
      <c r="AT70" s="83">
        <f>AT68*'Levellized Salt Sep Plant'!$I$4</f>
        <v>0</v>
      </c>
      <c r="AU70" s="83">
        <f>AU68*'Levellized Salt Sep Plant'!$I$4</f>
        <v>0</v>
      </c>
      <c r="AV70" s="83">
        <f>AV68*'Levellized Salt Sep Plant'!$I$4</f>
        <v>0</v>
      </c>
      <c r="AW70" s="83">
        <f>AW68*'Levellized Salt Sep Plant'!$I$4</f>
        <v>0</v>
      </c>
      <c r="AX70" s="83">
        <f>AX68*'Levellized Salt Sep Plant'!$I$4</f>
        <v>0</v>
      </c>
      <c r="AY70" s="83">
        <f>AY68*'Levellized Salt Sep Plant'!$I$4</f>
        <v>0</v>
      </c>
      <c r="AZ70" s="83">
        <f>AZ68*'Levellized Salt Sep Plant'!$I$4</f>
        <v>0</v>
      </c>
      <c r="BA70" s="83">
        <f>BA68*'Levellized Salt Sep Plant'!$I$4</f>
        <v>0</v>
      </c>
      <c r="BB70" s="83">
        <f>BB68*'Levellized Salt Sep Plant'!$I$4</f>
        <v>0</v>
      </c>
      <c r="BC70" s="83">
        <f>BC68*'Levellized Salt Sep Plant'!$I$4</f>
        <v>0</v>
      </c>
      <c r="BD70" s="83">
        <f>BD68*'Levellized Salt Sep Plant'!$I$4</f>
        <v>0</v>
      </c>
      <c r="BE70" s="83">
        <f>BE68*'Levellized Salt Sep Plant'!$I$4</f>
        <v>0</v>
      </c>
      <c r="BF70" s="83">
        <f>BF68*'Levellized Salt Sep Plant'!$I$4</f>
        <v>0</v>
      </c>
      <c r="BG70" s="83">
        <f>BG68*'Levellized Salt Sep Plant'!$I$4</f>
        <v>0</v>
      </c>
      <c r="BH70" s="83">
        <f>BH68*'Levellized Salt Sep Plant'!$I$4</f>
        <v>0</v>
      </c>
      <c r="BI70" s="83"/>
    </row>
    <row r="71" spans="1:61" s="82" customFormat="1" x14ac:dyDescent="0.2">
      <c r="A71" s="82" t="s">
        <v>665</v>
      </c>
      <c r="B71" s="156"/>
      <c r="C71" s="83">
        <f>C69*'Levellized Salt Sep Plant'!$I$25</f>
        <v>0</v>
      </c>
      <c r="D71" s="83">
        <f>D69*'Levellized Salt Sep Plant'!$I$25</f>
        <v>0</v>
      </c>
      <c r="E71" s="83">
        <f>E69*'Levellized Salt Sep Plant'!$I$25</f>
        <v>0</v>
      </c>
      <c r="F71" s="83">
        <f>F69*'Levellized Salt Sep Plant'!$I$25</f>
        <v>0</v>
      </c>
      <c r="G71" s="83">
        <f>G69*'Levellized Salt Sep Plant'!$I$25</f>
        <v>0</v>
      </c>
      <c r="H71" s="83">
        <f>H69*'Levellized Salt Sep Plant'!$I$25</f>
        <v>0</v>
      </c>
      <c r="I71" s="83">
        <f>I69*'Levellized Salt Sep Plant'!$I$25</f>
        <v>299944.03761291725</v>
      </c>
      <c r="J71" s="83">
        <f>J69*'Levellized Salt Sep Plant'!$I$25</f>
        <v>599888.0752258345</v>
      </c>
      <c r="K71" s="83">
        <f>K69*'Levellized Salt Sep Plant'!$I$25</f>
        <v>899832.11283875175</v>
      </c>
      <c r="L71" s="83">
        <f>L69*'Levellized Salt Sep Plant'!$I$25</f>
        <v>1499720.1880645864</v>
      </c>
      <c r="M71" s="83">
        <f>M69*'Levellized Salt Sep Plant'!$I$25</f>
        <v>2399552.300903338</v>
      </c>
      <c r="N71" s="83">
        <f>N69*'Levellized Salt Sep Plant'!$I$25</f>
        <v>2999440.3761291727</v>
      </c>
      <c r="O71" s="83">
        <f>O69*'Levellized Salt Sep Plant'!$I$25</f>
        <v>3899272.4889679244</v>
      </c>
      <c r="P71" s="83">
        <f>P69*'Levellized Salt Sep Plant'!$I$25</f>
        <v>5099048.6394195929</v>
      </c>
      <c r="Q71" s="83">
        <f>Q69*'Levellized Salt Sep Plant'!$I$25</f>
        <v>6298824.7898712624</v>
      </c>
      <c r="R71" s="83">
        <f>R69*'Levellized Salt Sep Plant'!$I$25</f>
        <v>7198656.902710014</v>
      </c>
      <c r="S71" s="83">
        <f>S69*'Levellized Salt Sep Plant'!$I$25</f>
        <v>8398433.0531616826</v>
      </c>
      <c r="T71" s="83">
        <f>T69*'Levellized Salt Sep Plant'!$I$25</f>
        <v>9298265.1660004351</v>
      </c>
      <c r="U71" s="83">
        <f>U69*'Levellized Salt Sep Plant'!$I$25</f>
        <v>10498041.316452105</v>
      </c>
      <c r="V71" s="83">
        <f>V69*'Levellized Salt Sep Plant'!$I$25</f>
        <v>11697817.466903772</v>
      </c>
      <c r="W71" s="83">
        <f>W69*'Levellized Salt Sep Plant'!$I$25</f>
        <v>12897593.617355442</v>
      </c>
      <c r="X71" s="83">
        <f>X69*'Levellized Salt Sep Plant'!$I$25</f>
        <v>13797425.730194194</v>
      </c>
      <c r="Y71" s="83">
        <f>Y69*'Levellized Salt Sep Plant'!$I$25</f>
        <v>14997201.880645862</v>
      </c>
      <c r="Z71" s="83">
        <f>Z69*'Levellized Salt Sep Plant'!$I$25</f>
        <v>16196978.031097531</v>
      </c>
      <c r="AA71" s="83">
        <f>AA69*'Levellized Salt Sep Plant'!$I$25</f>
        <v>17396754.181549199</v>
      </c>
      <c r="AB71" s="83">
        <f>AB69*'Levellized Salt Sep Plant'!$I$25</f>
        <v>18596530.33200087</v>
      </c>
      <c r="AC71" s="83">
        <f>AC69*'Levellized Salt Sep Plant'!$I$25</f>
        <v>19496362.444839623</v>
      </c>
      <c r="AD71" s="83">
        <f>AD69*'Levellized Salt Sep Plant'!$I$25</f>
        <v>20696138.59529129</v>
      </c>
      <c r="AE71" s="83">
        <f>AE69*'Levellized Salt Sep Plant'!$I$25</f>
        <v>21895914.745742958</v>
      </c>
      <c r="AF71" s="83">
        <f>AF69*'Levellized Salt Sep Plant'!$I$25</f>
        <v>23095690.896194629</v>
      </c>
      <c r="AG71" s="83">
        <f>AG69*'Levellized Salt Sep Plant'!$I$25</f>
        <v>24295467.046646297</v>
      </c>
      <c r="AH71" s="83">
        <f>AH69*'Levellized Salt Sep Plant'!$I$25</f>
        <v>25495243.197097965</v>
      </c>
      <c r="AI71" s="83">
        <f>AI69*'Levellized Salt Sep Plant'!$I$25</f>
        <v>26695019.347549636</v>
      </c>
      <c r="AJ71" s="83">
        <f>AJ69*'Levellized Salt Sep Plant'!$I$25</f>
        <v>28194739.535614222</v>
      </c>
      <c r="AK71" s="83">
        <f>AK69*'Levellized Salt Sep Plant'!$I$25</f>
        <v>29394515.68606589</v>
      </c>
      <c r="AL71" s="83">
        <f>AL69*'Levellized Salt Sep Plant'!$I$25</f>
        <v>30594291.836517561</v>
      </c>
      <c r="AM71" s="83">
        <f>AM69*'Levellized Salt Sep Plant'!$I$25</f>
        <v>31794067.986969229</v>
      </c>
      <c r="AN71" s="83">
        <f>AN69*'Levellized Salt Sep Plant'!$I$25</f>
        <v>32993844.137420896</v>
      </c>
      <c r="AO71" s="83">
        <f>AO69*'Levellized Salt Sep Plant'!$I$25</f>
        <v>34493564.325485483</v>
      </c>
      <c r="AP71" s="83">
        <f>AP69*'Levellized Salt Sep Plant'!$I$25</f>
        <v>35693340.47593715</v>
      </c>
      <c r="AQ71" s="83">
        <f>AQ69*'Levellized Salt Sep Plant'!$I$25</f>
        <v>36893116.626388825</v>
      </c>
      <c r="AR71" s="83">
        <f>AR69*'Levellized Salt Sep Plant'!$I$25</f>
        <v>38392836.814453408</v>
      </c>
      <c r="AS71" s="83">
        <f>AS69*'Levellized Salt Sep Plant'!$I$25</f>
        <v>39592612.964905076</v>
      </c>
      <c r="AT71" s="83">
        <f>AT69*'Levellized Salt Sep Plant'!$I$25</f>
        <v>40792389.115356743</v>
      </c>
      <c r="AU71" s="83">
        <f>AU69*'Levellized Salt Sep Plant'!$I$25</f>
        <v>42292109.303421333</v>
      </c>
      <c r="AV71" s="83">
        <f>AV69*'Levellized Salt Sep Plant'!$I$25</f>
        <v>43491885.453873001</v>
      </c>
      <c r="AW71" s="83">
        <f>AW69*'Levellized Salt Sep Plant'!$I$25</f>
        <v>44991605.641937591</v>
      </c>
      <c r="AX71" s="83">
        <f>AX69*'Levellized Salt Sep Plant'!$I$25</f>
        <v>46491325.830002174</v>
      </c>
      <c r="AY71" s="83">
        <f>AY69*'Levellized Salt Sep Plant'!$I$25</f>
        <v>47691101.980453841</v>
      </c>
      <c r="AZ71" s="83">
        <f>AZ69*'Levellized Salt Sep Plant'!$I$25</f>
        <v>49190822.168518431</v>
      </c>
      <c r="BA71" s="83">
        <f>BA69*'Levellized Salt Sep Plant'!$I$25</f>
        <v>50390598.318970099</v>
      </c>
      <c r="BB71" s="83">
        <f>BB69*'Levellized Salt Sep Plant'!$I$25</f>
        <v>51890318.507034682</v>
      </c>
      <c r="BC71" s="83">
        <f>BC69*'Levellized Salt Sep Plant'!$I$25</f>
        <v>53390038.695099272</v>
      </c>
      <c r="BD71" s="83">
        <f>BD69*'Levellized Salt Sep Plant'!$I$25</f>
        <v>54889758.883163854</v>
      </c>
      <c r="BE71" s="83">
        <f>BE69*'Levellized Salt Sep Plant'!$I$25</f>
        <v>56089535.03361553</v>
      </c>
      <c r="BF71" s="83">
        <f>BF69*'Levellized Salt Sep Plant'!$I$25</f>
        <v>57589255.221680112</v>
      </c>
      <c r="BG71" s="83">
        <f>BG69*'Levellized Salt Sep Plant'!$I$25</f>
        <v>59088975.409744695</v>
      </c>
      <c r="BH71" s="83">
        <f>BH69*'Levellized Salt Sep Plant'!$I$25</f>
        <v>60588695.597809285</v>
      </c>
      <c r="BI71" s="83"/>
    </row>
    <row r="72" spans="1:61" s="82" customFormat="1" x14ac:dyDescent="0.2">
      <c r="A72" s="82" t="s">
        <v>745</v>
      </c>
      <c r="B72" s="156"/>
      <c r="C72" s="83">
        <f>C69*'Levellized Salt Sep Plant'!$I$30</f>
        <v>0</v>
      </c>
      <c r="D72" s="83">
        <f>D69*'Levellized Salt Sep Plant'!$I$30</f>
        <v>0</v>
      </c>
      <c r="E72" s="83">
        <f>E69*'Levellized Salt Sep Plant'!$I$30</f>
        <v>0</v>
      </c>
      <c r="F72" s="83">
        <f>F69*'Levellized Salt Sep Plant'!$I$30</f>
        <v>0</v>
      </c>
      <c r="G72" s="83">
        <f>G69*'Levellized Salt Sep Plant'!$I$30</f>
        <v>0</v>
      </c>
      <c r="H72" s="83">
        <f>H69*'Levellized Salt Sep Plant'!$I$30</f>
        <v>0</v>
      </c>
      <c r="I72" s="83">
        <f>I69*'Levellized Salt Sep Plant'!$I$30</f>
        <v>123193.67181919048</v>
      </c>
      <c r="J72" s="83">
        <f>J69*'Levellized Salt Sep Plant'!$I$30</f>
        <v>246387.34363838096</v>
      </c>
      <c r="K72" s="83">
        <f>K69*'Levellized Salt Sep Plant'!$I$30</f>
        <v>369581.01545757143</v>
      </c>
      <c r="L72" s="83">
        <f>L69*'Levellized Salt Sep Plant'!$I$30</f>
        <v>615968.35909595236</v>
      </c>
      <c r="M72" s="83">
        <f>M69*'Levellized Salt Sep Plant'!$I$30</f>
        <v>985549.37455352384</v>
      </c>
      <c r="N72" s="83">
        <f>N69*'Levellized Salt Sep Plant'!$I$30</f>
        <v>1231936.7181919047</v>
      </c>
      <c r="O72" s="83">
        <f>O69*'Levellized Salt Sep Plant'!$I$30</f>
        <v>1601517.7336494762</v>
      </c>
      <c r="P72" s="83">
        <f>P69*'Levellized Salt Sep Plant'!$I$30</f>
        <v>2094292.4209262382</v>
      </c>
      <c r="Q72" s="83">
        <f>Q69*'Levellized Salt Sep Plant'!$I$30</f>
        <v>2587067.1082029999</v>
      </c>
      <c r="R72" s="83">
        <f>R69*'Levellized Salt Sep Plant'!$I$30</f>
        <v>2956648.1236605714</v>
      </c>
      <c r="S72" s="83">
        <f>S69*'Levellized Salt Sep Plant'!$I$30</f>
        <v>3449422.8109373334</v>
      </c>
      <c r="T72" s="83">
        <f>T69*'Levellized Salt Sep Plant'!$I$30</f>
        <v>3819003.8263949049</v>
      </c>
      <c r="U72" s="83">
        <f>U69*'Levellized Salt Sep Plant'!$I$30</f>
        <v>4311778.5136716664</v>
      </c>
      <c r="V72" s="83">
        <f>V69*'Levellized Salt Sep Plant'!$I$30</f>
        <v>4804553.2009484284</v>
      </c>
      <c r="W72" s="83">
        <f>W69*'Levellized Salt Sep Plant'!$I$30</f>
        <v>5297327.8882251903</v>
      </c>
      <c r="X72" s="83">
        <f>X69*'Levellized Salt Sep Plant'!$I$30</f>
        <v>5666908.9036827618</v>
      </c>
      <c r="Y72" s="83">
        <f>Y69*'Levellized Salt Sep Plant'!$I$30</f>
        <v>6159683.5909595238</v>
      </c>
      <c r="Z72" s="83">
        <f>Z69*'Levellized Salt Sep Plant'!$I$30</f>
        <v>6652458.2782362858</v>
      </c>
      <c r="AA72" s="83">
        <f>AA69*'Levellized Salt Sep Plant'!$I$30</f>
        <v>7145232.9655130478</v>
      </c>
      <c r="AB72" s="83">
        <f>AB69*'Levellized Salt Sep Plant'!$I$30</f>
        <v>7638007.6527898097</v>
      </c>
      <c r="AC72" s="83">
        <f>AC69*'Levellized Salt Sep Plant'!$I$30</f>
        <v>8007588.6682473812</v>
      </c>
      <c r="AD72" s="83">
        <f>AD69*'Levellized Salt Sep Plant'!$I$30</f>
        <v>8500363.3555241432</v>
      </c>
      <c r="AE72" s="83">
        <f>AE69*'Levellized Salt Sep Plant'!$I$30</f>
        <v>8993138.0428009052</v>
      </c>
      <c r="AF72" s="83">
        <f>AF69*'Levellized Salt Sep Plant'!$I$30</f>
        <v>9485912.7300776672</v>
      </c>
      <c r="AG72" s="83">
        <f>AG69*'Levellized Salt Sep Plant'!$I$30</f>
        <v>9978687.4173544291</v>
      </c>
      <c r="AH72" s="83">
        <f>AH69*'Levellized Salt Sep Plant'!$I$30</f>
        <v>10471462.104631191</v>
      </c>
      <c r="AI72" s="83">
        <f>AI69*'Levellized Salt Sep Plant'!$I$30</f>
        <v>10964236.791907953</v>
      </c>
      <c r="AJ72" s="83">
        <f>AJ69*'Levellized Salt Sep Plant'!$I$30</f>
        <v>11580205.151003905</v>
      </c>
      <c r="AK72" s="83">
        <f>AK69*'Levellized Salt Sep Plant'!$I$30</f>
        <v>12072979.838280667</v>
      </c>
      <c r="AL72" s="83">
        <f>AL69*'Levellized Salt Sep Plant'!$I$30</f>
        <v>12565754.525557429</v>
      </c>
      <c r="AM72" s="83">
        <f>AM69*'Levellized Salt Sep Plant'!$I$30</f>
        <v>13058529.212834191</v>
      </c>
      <c r="AN72" s="83">
        <f>AN69*'Levellized Salt Sep Plant'!$I$30</f>
        <v>13551303.900110953</v>
      </c>
      <c r="AO72" s="83">
        <f>AO69*'Levellized Salt Sep Plant'!$I$30</f>
        <v>14167272.259206906</v>
      </c>
      <c r="AP72" s="83">
        <f>AP69*'Levellized Salt Sep Plant'!$I$30</f>
        <v>14660046.946483668</v>
      </c>
      <c r="AQ72" s="83">
        <f>AQ69*'Levellized Salt Sep Plant'!$I$30</f>
        <v>15152821.63376043</v>
      </c>
      <c r="AR72" s="83">
        <f>AR69*'Levellized Salt Sep Plant'!$I$30</f>
        <v>15768789.992856381</v>
      </c>
      <c r="AS72" s="83">
        <f>AS69*'Levellized Salt Sep Plant'!$I$30</f>
        <v>16261564.680133143</v>
      </c>
      <c r="AT72" s="83">
        <f>AT69*'Levellized Salt Sep Plant'!$I$30</f>
        <v>16754339.367409905</v>
      </c>
      <c r="AU72" s="83">
        <f>AU69*'Levellized Salt Sep Plant'!$I$30</f>
        <v>17370307.726505857</v>
      </c>
      <c r="AV72" s="83">
        <f>AV69*'Levellized Salt Sep Plant'!$I$30</f>
        <v>17863082.413782619</v>
      </c>
      <c r="AW72" s="83">
        <f>AW69*'Levellized Salt Sep Plant'!$I$30</f>
        <v>18479050.772878572</v>
      </c>
      <c r="AX72" s="83">
        <f>AX69*'Levellized Salt Sep Plant'!$I$30</f>
        <v>19095019.131974526</v>
      </c>
      <c r="AY72" s="83">
        <f>AY69*'Levellized Salt Sep Plant'!$I$30</f>
        <v>19587793.819251288</v>
      </c>
      <c r="AZ72" s="83">
        <f>AZ69*'Levellized Salt Sep Plant'!$I$30</f>
        <v>20203762.178347237</v>
      </c>
      <c r="BA72" s="83">
        <f>BA69*'Levellized Salt Sep Plant'!$I$30</f>
        <v>20696536.865623999</v>
      </c>
      <c r="BB72" s="83">
        <f>BB69*'Levellized Salt Sep Plant'!$I$30</f>
        <v>21312505.224719953</v>
      </c>
      <c r="BC72" s="83">
        <f>BC69*'Levellized Salt Sep Plant'!$I$30</f>
        <v>21928473.583815906</v>
      </c>
      <c r="BD72" s="83">
        <f>BD69*'Levellized Salt Sep Plant'!$I$30</f>
        <v>22544441.94291186</v>
      </c>
      <c r="BE72" s="83">
        <f>BE69*'Levellized Salt Sep Plant'!$I$30</f>
        <v>23037216.630188622</v>
      </c>
      <c r="BF72" s="83">
        <f>BF69*'Levellized Salt Sep Plant'!$I$30</f>
        <v>23653184.989284571</v>
      </c>
      <c r="BG72" s="83">
        <f>BG69*'Levellized Salt Sep Plant'!$I$30</f>
        <v>24269153.348380525</v>
      </c>
      <c r="BH72" s="83">
        <f>BH69*'Levellized Salt Sep Plant'!$I$30</f>
        <v>24885121.707476478</v>
      </c>
      <c r="BI72" s="83"/>
    </row>
    <row r="73" spans="1:61" x14ac:dyDescent="0.2">
      <c r="B73" s="3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</row>
    <row r="74" spans="1:61" x14ac:dyDescent="0.2">
      <c r="A74" t="s">
        <v>732</v>
      </c>
      <c r="B74" s="31"/>
      <c r="C74" s="107">
        <f t="shared" ref="C74:AM74" si="258" xml:space="preserve"> IF(C69 &gt; 0, C85/(C85+C75), 0)</f>
        <v>0</v>
      </c>
      <c r="D74" s="107">
        <f t="shared" si="258"/>
        <v>0</v>
      </c>
      <c r="E74" s="107">
        <f t="shared" si="258"/>
        <v>0</v>
      </c>
      <c r="F74" s="107">
        <f t="shared" si="258"/>
        <v>0</v>
      </c>
      <c r="G74" s="107">
        <f t="shared" si="258"/>
        <v>0</v>
      </c>
      <c r="H74" s="107">
        <f t="shared" si="258"/>
        <v>0</v>
      </c>
      <c r="I74" s="107">
        <f t="shared" si="258"/>
        <v>0</v>
      </c>
      <c r="J74" s="107">
        <f t="shared" si="258"/>
        <v>0</v>
      </c>
      <c r="K74" s="107">
        <f t="shared" si="258"/>
        <v>0</v>
      </c>
      <c r="L74" s="107">
        <f t="shared" si="258"/>
        <v>0</v>
      </c>
      <c r="M74" s="107">
        <f t="shared" si="258"/>
        <v>0</v>
      </c>
      <c r="N74" s="107">
        <f t="shared" si="258"/>
        <v>0</v>
      </c>
      <c r="O74" s="107">
        <f t="shared" si="258"/>
        <v>0</v>
      </c>
      <c r="P74" s="107">
        <f t="shared" si="258"/>
        <v>0</v>
      </c>
      <c r="Q74" s="107">
        <f t="shared" si="258"/>
        <v>0</v>
      </c>
      <c r="R74" s="107">
        <f t="shared" si="258"/>
        <v>0</v>
      </c>
      <c r="S74" s="107">
        <f t="shared" si="258"/>
        <v>0</v>
      </c>
      <c r="T74" s="107">
        <f t="shared" si="258"/>
        <v>0</v>
      </c>
      <c r="U74" s="107">
        <f t="shared" si="258"/>
        <v>0</v>
      </c>
      <c r="V74" s="107">
        <f t="shared" si="258"/>
        <v>0</v>
      </c>
      <c r="W74" s="107">
        <f t="shared" si="258"/>
        <v>0</v>
      </c>
      <c r="X74" s="107">
        <f t="shared" si="258"/>
        <v>0</v>
      </c>
      <c r="Y74" s="107">
        <f t="shared" si="258"/>
        <v>0</v>
      </c>
      <c r="Z74" s="107">
        <f t="shared" si="258"/>
        <v>0</v>
      </c>
      <c r="AA74" s="107">
        <f t="shared" si="258"/>
        <v>0</v>
      </c>
      <c r="AB74" s="107">
        <f t="shared" si="258"/>
        <v>0</v>
      </c>
      <c r="AC74" s="107">
        <f t="shared" si="258"/>
        <v>0</v>
      </c>
      <c r="AD74" s="107">
        <f t="shared" si="258"/>
        <v>0</v>
      </c>
      <c r="AE74" s="107">
        <f t="shared" si="258"/>
        <v>0</v>
      </c>
      <c r="AF74" s="107">
        <f t="shared" si="258"/>
        <v>0</v>
      </c>
      <c r="AG74" s="107">
        <f t="shared" si="258"/>
        <v>0</v>
      </c>
      <c r="AH74" s="107">
        <f t="shared" si="258"/>
        <v>0</v>
      </c>
      <c r="AI74" s="107">
        <f t="shared" si="258"/>
        <v>0</v>
      </c>
      <c r="AJ74" s="107">
        <f t="shared" si="258"/>
        <v>0</v>
      </c>
      <c r="AK74" s="107">
        <f t="shared" si="258"/>
        <v>0</v>
      </c>
      <c r="AL74" s="107">
        <f t="shared" si="258"/>
        <v>0</v>
      </c>
      <c r="AM74" s="107">
        <f t="shared" si="258"/>
        <v>0</v>
      </c>
      <c r="AN74" s="107">
        <f t="shared" ref="AN74:AP74" si="259" xml:space="preserve"> IF(AN69 &gt; 0, AN85/(AN85+AN75), 0)</f>
        <v>0</v>
      </c>
      <c r="AO74" s="107">
        <f t="shared" si="259"/>
        <v>0</v>
      </c>
      <c r="AP74" s="107">
        <f t="shared" si="259"/>
        <v>0</v>
      </c>
      <c r="AQ74" s="107">
        <f t="shared" ref="AQ74:AS74" si="260" xml:space="preserve"> IF(AQ69 &gt; 0, AQ85/(AQ85+AQ75), 0)</f>
        <v>0</v>
      </c>
      <c r="AR74" s="107">
        <f t="shared" si="260"/>
        <v>0</v>
      </c>
      <c r="AS74" s="107">
        <f t="shared" si="260"/>
        <v>0</v>
      </c>
      <c r="AT74" s="107">
        <f t="shared" ref="AT74:AY74" si="261" xml:space="preserve"> IF(AT69 &gt; 0, AT85/(AT85+AT75), 0)</f>
        <v>0</v>
      </c>
      <c r="AU74" s="107">
        <f t="shared" si="261"/>
        <v>0</v>
      </c>
      <c r="AV74" s="107">
        <f t="shared" si="261"/>
        <v>0</v>
      </c>
      <c r="AW74" s="107">
        <f t="shared" si="261"/>
        <v>0</v>
      </c>
      <c r="AX74" s="107">
        <f t="shared" si="261"/>
        <v>0</v>
      </c>
      <c r="AY74" s="107">
        <f t="shared" si="261"/>
        <v>0</v>
      </c>
      <c r="AZ74" s="107">
        <f t="shared" ref="AZ74:BE74" si="262" xml:space="preserve"> IF(AZ69 &gt; 0, AZ85/(AZ85+AZ75), 0)</f>
        <v>0</v>
      </c>
      <c r="BA74" s="107">
        <f t="shared" si="262"/>
        <v>0</v>
      </c>
      <c r="BB74" s="107">
        <f t="shared" si="262"/>
        <v>0</v>
      </c>
      <c r="BC74" s="107">
        <f t="shared" si="262"/>
        <v>0</v>
      </c>
      <c r="BD74" s="107">
        <f t="shared" si="262"/>
        <v>0</v>
      </c>
      <c r="BE74" s="107">
        <f t="shared" si="262"/>
        <v>0</v>
      </c>
      <c r="BF74" s="107">
        <f t="shared" ref="BF74:BG74" si="263" xml:space="preserve"> IF(BF69 &gt; 0, BF85/(BF85+BF75), 0)</f>
        <v>0</v>
      </c>
      <c r="BG74" s="107">
        <f t="shared" si="263"/>
        <v>0</v>
      </c>
      <c r="BH74" s="107">
        <f t="shared" ref="BH74" si="264" xml:space="preserve"> IF(BH69 &gt; 0, BH85/(BH85+BH75), 0)</f>
        <v>0</v>
      </c>
      <c r="BI74" s="107"/>
    </row>
    <row r="75" spans="1:61" x14ac:dyDescent="0.2">
      <c r="A75" t="s">
        <v>733</v>
      </c>
      <c r="B75" s="31"/>
      <c r="C75" s="5">
        <f>IF((C69*'Levellized Salt Sep Plant'!$I$39-C85)&gt;0,(C69*'Levellized Salt Sep Plant'!$I$39-C85),0)</f>
        <v>0</v>
      </c>
      <c r="D75" s="5">
        <f>IF((D69*'Levellized Salt Sep Plant'!$I$39-D85)&gt;0,(D69*'Levellized Salt Sep Plant'!$I$39-D85),0)</f>
        <v>0</v>
      </c>
      <c r="E75" s="5">
        <f>IF((E69*'Levellized Salt Sep Plant'!$I$39-E85)&gt;0,(E69*'Levellized Salt Sep Plant'!$I$39-E85),0)</f>
        <v>0</v>
      </c>
      <c r="F75" s="5">
        <f>IF((F69*'Levellized Salt Sep Plant'!$I$39-F85)&gt;0,(F69*'Levellized Salt Sep Plant'!$I$39-F85),0)</f>
        <v>0</v>
      </c>
      <c r="G75" s="5">
        <f>IF((G69*'Levellized Salt Sep Plant'!$I$39-G85)&gt;0,(G69*'Levellized Salt Sep Plant'!$I$39-G85),0)</f>
        <v>0</v>
      </c>
      <c r="H75" s="5">
        <f>IF((H69*'Levellized Salt Sep Plant'!$I$39-H85)&gt;0,(H69*'Levellized Salt Sep Plant'!$I$39-H85),0)</f>
        <v>0</v>
      </c>
      <c r="I75" s="5">
        <f>IF((I69*'Levellized Salt Sep Plant'!$I$39-I85)&gt;0,(I69*'Levellized Salt Sep Plant'!$I$39-I85),0)</f>
        <v>20163.234057393089</v>
      </c>
      <c r="J75" s="5">
        <f>IF((J69*'Levellized Salt Sep Plant'!$I$39-J85)&gt;0,(J69*'Levellized Salt Sep Plant'!$I$39-J85),0)</f>
        <v>40326.468114786177</v>
      </c>
      <c r="K75" s="5">
        <f>IF((K69*'Levellized Salt Sep Plant'!$I$39-K85)&gt;0,(K69*'Levellized Salt Sep Plant'!$I$39-K85),0)</f>
        <v>60489.70217217927</v>
      </c>
      <c r="L75" s="5">
        <f>IF((L69*'Levellized Salt Sep Plant'!$I$39-L85)&gt;0,(L69*'Levellized Salt Sep Plant'!$I$39-L85),0)</f>
        <v>100816.17028696544</v>
      </c>
      <c r="M75" s="5">
        <f>IF((M69*'Levellized Salt Sep Plant'!$I$39-M85)&gt;0,(M69*'Levellized Salt Sep Plant'!$I$39-M85),0)</f>
        <v>161305.87245914471</v>
      </c>
      <c r="N75" s="5">
        <f>IF((N69*'Levellized Salt Sep Plant'!$I$39-N85)&gt;0,(N69*'Levellized Salt Sep Plant'!$I$39-N85),0)</f>
        <v>201632.34057393088</v>
      </c>
      <c r="O75" s="5">
        <f>IF((O69*'Levellized Salt Sep Plant'!$I$39-O85)&gt;0,(O69*'Levellized Salt Sep Plant'!$I$39-O85),0)</f>
        <v>262122.04274611015</v>
      </c>
      <c r="P75" s="5">
        <f>IF((P69*'Levellized Salt Sep Plant'!$I$39-P85)&gt;0,(P69*'Levellized Salt Sep Plant'!$I$39-P85),0)</f>
        <v>342774.97897568252</v>
      </c>
      <c r="Q75" s="5">
        <f>IF((Q69*'Levellized Salt Sep Plant'!$I$39-Q85)&gt;0,(Q69*'Levellized Salt Sep Plant'!$I$39-Q85),0)</f>
        <v>423427.91520525486</v>
      </c>
      <c r="R75" s="5">
        <f>IF((R69*'Levellized Salt Sep Plant'!$I$39-R85)&gt;0,(R69*'Levellized Salt Sep Plant'!$I$39-R85),0)</f>
        <v>483917.61737743416</v>
      </c>
      <c r="S75" s="5">
        <f>IF((S69*'Levellized Salt Sep Plant'!$I$39-S85)&gt;0,(S69*'Levellized Salt Sep Plant'!$I$39-S85),0)</f>
        <v>564570.55360700644</v>
      </c>
      <c r="T75" s="5">
        <f>IF((T69*'Levellized Salt Sep Plant'!$I$39-T85)&gt;0,(T69*'Levellized Salt Sep Plant'!$I$39-T85),0)</f>
        <v>625060.2557791858</v>
      </c>
      <c r="U75" s="5">
        <f>IF((U69*'Levellized Salt Sep Plant'!$I$39-U85)&gt;0,(U69*'Levellized Salt Sep Plant'!$I$39-U85),0)</f>
        <v>705713.19200875808</v>
      </c>
      <c r="V75" s="5">
        <f>IF((V69*'Levellized Salt Sep Plant'!$I$39-V85)&gt;0,(V69*'Levellized Salt Sep Plant'!$I$39-V85),0)</f>
        <v>786366.12823833048</v>
      </c>
      <c r="W75" s="5">
        <f>IF((W69*'Levellized Salt Sep Plant'!$I$39-W85)&gt;0,(W69*'Levellized Salt Sep Plant'!$I$39-W85),0)</f>
        <v>867019.06446790276</v>
      </c>
      <c r="X75" s="5">
        <f>IF((X69*'Levellized Salt Sep Plant'!$I$39-X85)&gt;0,(X69*'Levellized Salt Sep Plant'!$I$39-X85),0)</f>
        <v>927508.76664008212</v>
      </c>
      <c r="Y75" s="5">
        <f>IF((Y69*'Levellized Salt Sep Plant'!$I$39-Y85)&gt;0,(Y69*'Levellized Salt Sep Plant'!$I$39-Y85),0)</f>
        <v>1008161.7028696544</v>
      </c>
      <c r="Z75" s="5">
        <f>IF((Z69*'Levellized Salt Sep Plant'!$I$39-Z85)&gt;0,(Z69*'Levellized Salt Sep Plant'!$I$39-Z85),0)</f>
        <v>1088814.6390992268</v>
      </c>
      <c r="AA75" s="5">
        <f>IF((AA69*'Levellized Salt Sep Plant'!$I$39-AA85)&gt;0,(AA69*'Levellized Salt Sep Plant'!$I$39-AA85),0)</f>
        <v>1169467.5753287992</v>
      </c>
      <c r="AB75" s="5">
        <f>IF((AB69*'Levellized Salt Sep Plant'!$I$39-AB85)&gt;0,(AB69*'Levellized Salt Sep Plant'!$I$39-AB85),0)</f>
        <v>1250120.5115583716</v>
      </c>
      <c r="AC75" s="5">
        <f>IF((AC69*'Levellized Salt Sep Plant'!$I$39-AC85)&gt;0,(AC69*'Levellized Salt Sep Plant'!$I$39-AC85),0)</f>
        <v>1310610.2137305508</v>
      </c>
      <c r="AD75" s="5">
        <f>IF((AD69*'Levellized Salt Sep Plant'!$I$39-AD85)&gt;0,(AD69*'Levellized Salt Sep Plant'!$I$39-AD85),0)</f>
        <v>1391263.1499601232</v>
      </c>
      <c r="AE75" s="5">
        <f>IF((AE69*'Levellized Salt Sep Plant'!$I$39-AE85)&gt;0,(AE69*'Levellized Salt Sep Plant'!$I$39-AE85),0)</f>
        <v>1471916.0861896954</v>
      </c>
      <c r="AF75" s="5">
        <f>IF((AF69*'Levellized Salt Sep Plant'!$I$39-AF85)&gt;0,(AF69*'Levellized Salt Sep Plant'!$I$39-AF85),0)</f>
        <v>1552569.0224192678</v>
      </c>
      <c r="AG75" s="5">
        <f>IF((AG69*'Levellized Salt Sep Plant'!$I$39-AG85)&gt;0,(AG69*'Levellized Salt Sep Plant'!$I$39-AG85),0)</f>
        <v>1633221.9586488402</v>
      </c>
      <c r="AH75" s="5">
        <f>IF((AH69*'Levellized Salt Sep Plant'!$I$39-AH85)&gt;0,(AH69*'Levellized Salt Sep Plant'!$I$39-AH85),0)</f>
        <v>1713874.8948784126</v>
      </c>
      <c r="AI75" s="5">
        <f>IF((AI69*'Levellized Salt Sep Plant'!$I$39-AI85)&gt;0,(AI69*'Levellized Salt Sep Plant'!$I$39-AI85),0)</f>
        <v>1794527.831107985</v>
      </c>
      <c r="AJ75" s="5">
        <f>IF((AJ69*'Levellized Salt Sep Plant'!$I$39-AJ85)&gt;0,(AJ69*'Levellized Salt Sep Plant'!$I$39-AJ85),0)</f>
        <v>1895344.0013949503</v>
      </c>
      <c r="AK75" s="5">
        <f>IF((AK69*'Levellized Salt Sep Plant'!$I$39-AK85)&gt;0,(AK69*'Levellized Salt Sep Plant'!$I$39-AK85),0)</f>
        <v>1975996.9376245227</v>
      </c>
      <c r="AL75" s="5">
        <f>IF((AL69*'Levellized Salt Sep Plant'!$I$39-AL85)&gt;0,(AL69*'Levellized Salt Sep Plant'!$I$39-AL85),0)</f>
        <v>2056649.8738540951</v>
      </c>
      <c r="AM75" s="5">
        <f>IF((AM69*'Levellized Salt Sep Plant'!$I$39-AM85)&gt;0,(AM69*'Levellized Salt Sep Plant'!$I$39-AM85),0)</f>
        <v>2137302.8100836673</v>
      </c>
      <c r="AN75" s="5">
        <f>IF((AN69*'Levellized Salt Sep Plant'!$I$39-AN85)&gt;0,(AN69*'Levellized Salt Sep Plant'!$I$39-AN85),0)</f>
        <v>2217955.7463132399</v>
      </c>
      <c r="AO75" s="5">
        <f>IF((AO69*'Levellized Salt Sep Plant'!$I$39-AO85)&gt;0,(AO69*'Levellized Salt Sep Plant'!$I$39-AO85),0)</f>
        <v>2318771.916600205</v>
      </c>
      <c r="AP75" s="5">
        <f>IF((AP69*'Levellized Salt Sep Plant'!$I$39-AP85)&gt;0,(AP69*'Levellized Salt Sep Plant'!$I$39-AP85),0)</f>
        <v>2399424.8528297776</v>
      </c>
      <c r="AQ75" s="5">
        <f>IF((AQ69*'Levellized Salt Sep Plant'!$I$39-AQ85)&gt;0,(AQ69*'Levellized Salt Sep Plant'!$I$39-AQ85),0)</f>
        <v>2480077.7890593498</v>
      </c>
      <c r="AR75" s="5">
        <f>IF((AR69*'Levellized Salt Sep Plant'!$I$39-AR85)&gt;0,(AR69*'Levellized Salt Sep Plant'!$I$39-AR85),0)</f>
        <v>2580893.9593463154</v>
      </c>
      <c r="AS75" s="5">
        <f>IF((AS69*'Levellized Salt Sep Plant'!$I$39-AS85)&gt;0,(AS69*'Levellized Salt Sep Plant'!$I$39-AS85),0)</f>
        <v>2661546.8955758875</v>
      </c>
      <c r="AT75" s="5">
        <f>IF((AT69*'Levellized Salt Sep Plant'!$I$39-AT85)&gt;0,(AT69*'Levellized Salt Sep Plant'!$I$39-AT85),0)</f>
        <v>2742199.8318054602</v>
      </c>
      <c r="AU75" s="5">
        <f>IF((AU69*'Levellized Salt Sep Plant'!$I$39-AU85)&gt;0,(AU69*'Levellized Salt Sep Plant'!$I$39-AU85),0)</f>
        <v>2843016.0020924257</v>
      </c>
      <c r="AV75" s="5">
        <f>IF((AV69*'Levellized Salt Sep Plant'!$I$39-AV85)&gt;0,(AV69*'Levellized Salt Sep Plant'!$I$39-AV85),0)</f>
        <v>2923668.9383219979</v>
      </c>
      <c r="AW75" s="5">
        <f>IF((AW69*'Levellized Salt Sep Plant'!$I$39-AW85)&gt;0,(AW69*'Levellized Salt Sep Plant'!$I$39-AW85),0)</f>
        <v>3024485.1086089634</v>
      </c>
      <c r="AX75" s="5">
        <f>IF((AX69*'Levellized Salt Sep Plant'!$I$39-AX85)&gt;0,(AX69*'Levellized Salt Sep Plant'!$I$39-AX85),0)</f>
        <v>3125301.2788959285</v>
      </c>
      <c r="AY75" s="5">
        <f>IF((AY69*'Levellized Salt Sep Plant'!$I$39-AY85)&gt;0,(AY69*'Levellized Salt Sep Plant'!$I$39-AY85),0)</f>
        <v>3205954.2151255012</v>
      </c>
      <c r="AZ75" s="5">
        <f>IF((AZ69*'Levellized Salt Sep Plant'!$I$39-AZ85)&gt;0,(AZ69*'Levellized Salt Sep Plant'!$I$39-AZ85),0)</f>
        <v>3306770.3854124667</v>
      </c>
      <c r="BA75" s="5">
        <f>IF((BA69*'Levellized Salt Sep Plant'!$I$39-BA85)&gt;0,(BA69*'Levellized Salt Sep Plant'!$I$39-BA85),0)</f>
        <v>3387423.3216420389</v>
      </c>
      <c r="BB75" s="5">
        <f>IF((BB69*'Levellized Salt Sep Plant'!$I$39-BB85)&gt;0,(BB69*'Levellized Salt Sep Plant'!$I$39-BB85),0)</f>
        <v>3488239.4919290044</v>
      </c>
      <c r="BC75" s="5">
        <f>IF((BC69*'Levellized Salt Sep Plant'!$I$39-BC85)&gt;0,(BC69*'Levellized Salt Sep Plant'!$I$39-BC85),0)</f>
        <v>3589055.66221597</v>
      </c>
      <c r="BD75" s="5">
        <f>IF((BD69*'Levellized Salt Sep Plant'!$I$39-BD85)&gt;0,(BD69*'Levellized Salt Sep Plant'!$I$39-BD85),0)</f>
        <v>3689871.8325029351</v>
      </c>
      <c r="BE75" s="5">
        <f>IF((BE69*'Levellized Salt Sep Plant'!$I$39-BE85)&gt;0,(BE69*'Levellized Salt Sep Plant'!$I$39-BE85),0)</f>
        <v>3770524.7687325077</v>
      </c>
      <c r="BF75" s="5">
        <f>IF((BF69*'Levellized Salt Sep Plant'!$I$39-BF85)&gt;0,(BF69*'Levellized Salt Sep Plant'!$I$39-BF85),0)</f>
        <v>3871340.9390194733</v>
      </c>
      <c r="BG75" s="5">
        <f>IF((BG69*'Levellized Salt Sep Plant'!$I$39-BG85)&gt;0,(BG69*'Levellized Salt Sep Plant'!$I$39-BG85),0)</f>
        <v>3972157.1093064384</v>
      </c>
      <c r="BH75" s="5">
        <f>IF((BH69*'Levellized Salt Sep Plant'!$I$39-BH85)&gt;0,(BH69*'Levellized Salt Sep Plant'!$I$39-BH85),0)</f>
        <v>4072973.2795934039</v>
      </c>
      <c r="BI75" s="5"/>
    </row>
    <row r="76" spans="1:61" s="82" customFormat="1" x14ac:dyDescent="0.2">
      <c r="A76" s="82" t="s">
        <v>10</v>
      </c>
      <c r="B76" s="156"/>
      <c r="C76" s="83">
        <f>IF(C68&gt;0,(D78) * 'Salt Evaporation Pond Costs'!$B$46,0)</f>
        <v>0</v>
      </c>
      <c r="D76" s="83">
        <f>IF(D68&gt;0,(E78) * 'Salt Evaporation Pond Costs'!$B$46,0)</f>
        <v>0</v>
      </c>
      <c r="E76" s="83">
        <f>IF(E68&gt;0,(F78) * 'Salt Evaporation Pond Costs'!$B$46,0)</f>
        <v>0</v>
      </c>
      <c r="F76" s="83">
        <f>IF(F68&gt;0,(G78) * 'Salt Evaporation Pond Costs'!$B$46,0)</f>
        <v>0</v>
      </c>
      <c r="G76" s="83">
        <f>IF(G68&gt;0,(H78) * 'Salt Evaporation Pond Costs'!$B$46,0)</f>
        <v>0</v>
      </c>
      <c r="H76" s="83">
        <f>IF(H68&gt;0,(I78) * 'Salt Evaporation Pond Costs'!$B$46,0)</f>
        <v>126500.79002675162</v>
      </c>
      <c r="I76" s="83">
        <f>IF(I68&gt;0,(J78) * 'Salt Evaporation Pond Costs'!$B$46,0)</f>
        <v>253001.58005350325</v>
      </c>
      <c r="J76" s="83">
        <f>IF(J68&gt;0,(K78) * 'Salt Evaporation Pond Costs'!$B$46,0)</f>
        <v>379502.37008025486</v>
      </c>
      <c r="K76" s="83">
        <f>IF(K68&gt;0,(L78) * 'Salt Evaporation Pond Costs'!$B$46,0)</f>
        <v>632503.95013375801</v>
      </c>
      <c r="L76" s="83">
        <f>IF(L68&gt;0,(M78) * 'Salt Evaporation Pond Costs'!$B$46,0)</f>
        <v>1012006.320214013</v>
      </c>
      <c r="M76" s="83">
        <f>IF(M68&gt;0,(N78) * 'Salt Evaporation Pond Costs'!$B$46,0)</f>
        <v>1265007.900267516</v>
      </c>
      <c r="N76" s="83">
        <f>IF(N68&gt;0,(O78) * 'Salt Evaporation Pond Costs'!$B$46,0)</f>
        <v>1644510.270347771</v>
      </c>
      <c r="O76" s="83">
        <f>IF(O68&gt;0,(P78) * 'Salt Evaporation Pond Costs'!$B$46,0)</f>
        <v>2150513.4304547776</v>
      </c>
      <c r="P76" s="83">
        <f>IF(P68&gt;0,(Q78) * 'Salt Evaporation Pond Costs'!$B$46,0)</f>
        <v>2656516.5905617839</v>
      </c>
      <c r="Q76" s="83">
        <f>IF(Q68&gt;0,(R78) * 'Salt Evaporation Pond Costs'!$B$46,0)</f>
        <v>3036018.9606420388</v>
      </c>
      <c r="R76" s="83">
        <f>IF(R68&gt;0,(S78) * 'Salt Evaporation Pond Costs'!$B$46,0)</f>
        <v>3542022.1207490452</v>
      </c>
      <c r="S76" s="83">
        <f>IF(S68&gt;0,(T78) * 'Salt Evaporation Pond Costs'!$B$46,0)</f>
        <v>3921524.4908293006</v>
      </c>
      <c r="T76" s="83">
        <f>IF(T68&gt;0,(U78) * 'Salt Evaporation Pond Costs'!$B$46,0)</f>
        <v>4427527.6509363065</v>
      </c>
      <c r="U76" s="83">
        <f>IF(U68&gt;0,(V78) * 'Salt Evaporation Pond Costs'!$B$46,0)</f>
        <v>4933530.8110433137</v>
      </c>
      <c r="V76" s="83">
        <f>IF(V68&gt;0,(W78) * 'Salt Evaporation Pond Costs'!$B$46,0)</f>
        <v>5439533.9711503191</v>
      </c>
      <c r="W76" s="83">
        <f>IF(W68&gt;0,(X78) * 'Salt Evaporation Pond Costs'!$B$46,0)</f>
        <v>5819036.341230575</v>
      </c>
      <c r="X76" s="83">
        <f>IF(X68&gt;0,(Y78) * 'Salt Evaporation Pond Costs'!$B$46,0)</f>
        <v>6325039.5013375804</v>
      </c>
      <c r="Y76" s="83">
        <f>IF(Y68&gt;0,(Z78) * 'Salt Evaporation Pond Costs'!$B$46,0)</f>
        <v>6831042.6614445876</v>
      </c>
      <c r="Z76" s="83">
        <f>IF(Z68&gt;0,(AA78) * 'Salt Evaporation Pond Costs'!$B$46,0)</f>
        <v>7337045.8215515949</v>
      </c>
      <c r="AA76" s="83">
        <f>IF(AA68&gt;0,(AB78) * 'Salt Evaporation Pond Costs'!$B$46,0)</f>
        <v>7843048.9816586012</v>
      </c>
      <c r="AB76" s="83">
        <f>IF(AB68&gt;0,(AC78) * 'Salt Evaporation Pond Costs'!$B$46,0)</f>
        <v>8222551.3517388552</v>
      </c>
      <c r="AC76" s="83">
        <f>IF(AC68&gt;0,(AD78) * 'Salt Evaporation Pond Costs'!$B$46,0)</f>
        <v>8728554.5118458625</v>
      </c>
      <c r="AD76" s="83">
        <f>IF(AD68&gt;0,(AE78) * 'Salt Evaporation Pond Costs'!$B$46,0)</f>
        <v>9234557.6719528679</v>
      </c>
      <c r="AE76" s="83">
        <f>IF(AE68&gt;0,(AF78) * 'Salt Evaporation Pond Costs'!$B$46,0)</f>
        <v>9740560.8320598751</v>
      </c>
      <c r="AF76" s="83">
        <f>IF(AF68&gt;0,(AG78) * 'Salt Evaporation Pond Costs'!$B$46,0)</f>
        <v>10246563.992166882</v>
      </c>
      <c r="AG76" s="83">
        <f>IF(AG68&gt;0,(AH78) * 'Salt Evaporation Pond Costs'!$B$46,0)</f>
        <v>10752567.15227389</v>
      </c>
      <c r="AH76" s="83">
        <f>IF(AH68&gt;0,(AI78) * 'Salt Evaporation Pond Costs'!$B$46,0)</f>
        <v>11258570.312380895</v>
      </c>
      <c r="AI76" s="83">
        <f>IF(AI68&gt;0,(AJ78) * 'Salt Evaporation Pond Costs'!$B$46,0)</f>
        <v>11891074.262514653</v>
      </c>
      <c r="AJ76" s="83">
        <f>IF(AJ68&gt;0,(AK78) * 'Salt Evaporation Pond Costs'!$B$46,0)</f>
        <v>12397077.42262166</v>
      </c>
      <c r="AK76" s="83">
        <f>IF(AK68&gt;0,(AL78) * 'Salt Evaporation Pond Costs'!$B$46,0)</f>
        <v>12903080.582728665</v>
      </c>
      <c r="AL76" s="83">
        <f>IF(AL68&gt;0,(AM78) * 'Salt Evaporation Pond Costs'!$B$46,0)</f>
        <v>13409083.742835671</v>
      </c>
      <c r="AM76" s="83">
        <f>IF(AM68&gt;0,(AN78) * 'Salt Evaporation Pond Costs'!$B$46,0)</f>
        <v>0</v>
      </c>
      <c r="AN76" s="83">
        <f>IF(AN68&gt;0,(AO78) * 'Salt Evaporation Pond Costs'!$B$46,0)</f>
        <v>0</v>
      </c>
      <c r="AO76" s="83">
        <f>IF(AO68&gt;0,(AP78) * 'Salt Evaporation Pond Costs'!$B$46,0)</f>
        <v>0</v>
      </c>
      <c r="AP76" s="83">
        <f>IF(AP68&gt;0,(AQ78) * 'Salt Evaporation Pond Costs'!$B$46,0)</f>
        <v>0</v>
      </c>
      <c r="AQ76" s="83">
        <f>IF(AQ68&gt;0,(AR78) * 'Salt Evaporation Pond Costs'!$B$46,0)</f>
        <v>0</v>
      </c>
      <c r="AR76" s="83">
        <f>IF(AR68&gt;0,(AS78) * 'Salt Evaporation Pond Costs'!$B$46,0)</f>
        <v>0</v>
      </c>
      <c r="AS76" s="83">
        <f>IF(AS68&gt;0,(AT78) * 'Salt Evaporation Pond Costs'!$B$46,0)</f>
        <v>0</v>
      </c>
      <c r="AT76" s="83">
        <f>IF(AT68&gt;0,(AU78) * 'Salt Evaporation Pond Costs'!$B$46,0)</f>
        <v>0</v>
      </c>
      <c r="AU76" s="83">
        <f>IF(AU68&gt;0,(AV78) * 'Salt Evaporation Pond Costs'!$B$46,0)</f>
        <v>0</v>
      </c>
      <c r="AV76" s="83">
        <f>IF(AV68&gt;0,(AW78) * 'Salt Evaporation Pond Costs'!$B$46,0)</f>
        <v>0</v>
      </c>
      <c r="AW76" s="83">
        <f>IF(AW68&gt;0,(AX78) * 'Salt Evaporation Pond Costs'!$B$46,0)</f>
        <v>0</v>
      </c>
      <c r="AX76" s="83">
        <f>IF(AX68&gt;0,(AY78) * 'Salt Evaporation Pond Costs'!$B$46,0)</f>
        <v>0</v>
      </c>
      <c r="AY76" s="83">
        <f>IF(AY68&gt;0,(AZ78) * 'Salt Evaporation Pond Costs'!$B$46,0)</f>
        <v>0</v>
      </c>
      <c r="AZ76" s="83">
        <f>IF(AZ68&gt;0,(BA78) * 'Salt Evaporation Pond Costs'!$B$46,0)</f>
        <v>0</v>
      </c>
      <c r="BA76" s="83">
        <f>IF(BA68&gt;0,(BB78) * 'Salt Evaporation Pond Costs'!$B$46,0)</f>
        <v>0</v>
      </c>
      <c r="BB76" s="83">
        <f>IF(BB68&gt;0,(BC78) * 'Salt Evaporation Pond Costs'!$B$46,0)</f>
        <v>0</v>
      </c>
      <c r="BC76" s="83">
        <f>IF(BC68&gt;0,(BD78) * 'Salt Evaporation Pond Costs'!$B$46,0)</f>
        <v>0</v>
      </c>
      <c r="BD76" s="83">
        <f>IF(BD68&gt;0,(BE78) * 'Salt Evaporation Pond Costs'!$B$46,0)</f>
        <v>0</v>
      </c>
      <c r="BE76" s="83">
        <f>IF(BE68&gt;0,(BF78) * 'Salt Evaporation Pond Costs'!$B$46,0)</f>
        <v>0</v>
      </c>
      <c r="BF76" s="83">
        <f>IF(BF68&gt;0,(BG78) * 'Salt Evaporation Pond Costs'!$B$46,0)</f>
        <v>0</v>
      </c>
      <c r="BG76" s="83">
        <f>IF(BG68&gt;0,(BH78) * 'Salt Evaporation Pond Costs'!$B$46,0)</f>
        <v>0</v>
      </c>
      <c r="BH76" s="83">
        <f>IF(BH68&gt;0,(BI78) * 'Salt Evaporation Pond Costs'!$B$46,0)</f>
        <v>0</v>
      </c>
      <c r="BI76" s="83"/>
    </row>
    <row r="77" spans="1:61" s="82" customFormat="1" x14ac:dyDescent="0.2">
      <c r="A77" s="82" t="s">
        <v>11</v>
      </c>
      <c r="B77" s="156"/>
      <c r="C77" s="83">
        <f>C78 * 'Salt Evaporation Pond Costs'!$B$53</f>
        <v>0</v>
      </c>
      <c r="D77" s="83">
        <f>D78 * 'Salt Evaporation Pond Costs'!$B$53</f>
        <v>0</v>
      </c>
      <c r="E77" s="83">
        <f>E78 * 'Salt Evaporation Pond Costs'!$B$53</f>
        <v>0</v>
      </c>
      <c r="F77" s="83">
        <f>F78 * 'Salt Evaporation Pond Costs'!$B$53</f>
        <v>0</v>
      </c>
      <c r="G77" s="83">
        <f>G78 * 'Salt Evaporation Pond Costs'!$B$53</f>
        <v>0</v>
      </c>
      <c r="H77" s="83">
        <f>H78 * 'Salt Evaporation Pond Costs'!$B$53</f>
        <v>0</v>
      </c>
      <c r="I77" s="83">
        <f>I78 * 'Salt Evaporation Pond Costs'!$B$53</f>
        <v>7835.1042938346136</v>
      </c>
      <c r="J77" s="83">
        <f>J78 * 'Salt Evaporation Pond Costs'!$B$53</f>
        <v>15670.208587669227</v>
      </c>
      <c r="K77" s="83">
        <f>K78 * 'Salt Evaporation Pond Costs'!$B$53</f>
        <v>23505.312881503844</v>
      </c>
      <c r="L77" s="83">
        <f>L78 * 'Salt Evaporation Pond Costs'!$B$53</f>
        <v>39175.521469173065</v>
      </c>
      <c r="M77" s="83">
        <f>M78 * 'Salt Evaporation Pond Costs'!$B$53</f>
        <v>62680.834350676909</v>
      </c>
      <c r="N77" s="83">
        <f>N78 * 'Salt Evaporation Pond Costs'!$B$53</f>
        <v>78351.042938346131</v>
      </c>
      <c r="O77" s="83">
        <f>O78 * 'Salt Evaporation Pond Costs'!$B$53</f>
        <v>101856.35581984998</v>
      </c>
      <c r="P77" s="83">
        <f>P78 * 'Salt Evaporation Pond Costs'!$B$53</f>
        <v>133196.77299518842</v>
      </c>
      <c r="Q77" s="83">
        <f>Q78 * 'Salt Evaporation Pond Costs'!$B$53</f>
        <v>164537.19017052688</v>
      </c>
      <c r="R77" s="83">
        <f>R78 * 'Salt Evaporation Pond Costs'!$B$53</f>
        <v>188042.50305203075</v>
      </c>
      <c r="S77" s="83">
        <f>S78 * 'Salt Evaporation Pond Costs'!$B$53</f>
        <v>219382.92022736918</v>
      </c>
      <c r="T77" s="83">
        <f>T78 * 'Salt Evaporation Pond Costs'!$B$53</f>
        <v>242888.23310887307</v>
      </c>
      <c r="U77" s="83">
        <f>U78 * 'Salt Evaporation Pond Costs'!$B$53</f>
        <v>274228.6502842115</v>
      </c>
      <c r="V77" s="83">
        <f>V78 * 'Salt Evaporation Pond Costs'!$B$53</f>
        <v>305569.06745954999</v>
      </c>
      <c r="W77" s="83">
        <f>W78 * 'Salt Evaporation Pond Costs'!$B$53</f>
        <v>336909.48463488842</v>
      </c>
      <c r="X77" s="83">
        <f>X78 * 'Salt Evaporation Pond Costs'!$B$53</f>
        <v>360414.79751639225</v>
      </c>
      <c r="Y77" s="83">
        <f>Y78 * 'Salt Evaporation Pond Costs'!$B$53</f>
        <v>391755.21469173068</v>
      </c>
      <c r="Z77" s="83">
        <f>Z78 * 'Salt Evaporation Pond Costs'!$B$53</f>
        <v>423095.63186706917</v>
      </c>
      <c r="AA77" s="83">
        <f>AA78 * 'Salt Evaporation Pond Costs'!$B$53</f>
        <v>454436.04904240766</v>
      </c>
      <c r="AB77" s="83">
        <f>AB78 * 'Salt Evaporation Pond Costs'!$B$53</f>
        <v>485776.46621774614</v>
      </c>
      <c r="AC77" s="83">
        <f>AC78 * 'Salt Evaporation Pond Costs'!$B$53</f>
        <v>509281.77909924992</v>
      </c>
      <c r="AD77" s="83">
        <f>AD78 * 'Salt Evaporation Pond Costs'!$B$53</f>
        <v>540622.19627458835</v>
      </c>
      <c r="AE77" s="83">
        <f>AE78 * 'Salt Evaporation Pond Costs'!$B$53</f>
        <v>571962.61344992684</v>
      </c>
      <c r="AF77" s="83">
        <f>AF78 * 'Salt Evaporation Pond Costs'!$B$53</f>
        <v>603303.03062526532</v>
      </c>
      <c r="AG77" s="83">
        <f>AG78 * 'Salt Evaporation Pond Costs'!$B$53</f>
        <v>634643.44780060381</v>
      </c>
      <c r="AH77" s="83">
        <f>AH78 * 'Salt Evaporation Pond Costs'!$B$53</f>
        <v>665983.8649759423</v>
      </c>
      <c r="AI77" s="83">
        <f>AI78 * 'Salt Evaporation Pond Costs'!$B$53</f>
        <v>697324.28215128079</v>
      </c>
      <c r="AJ77" s="83">
        <f>AJ78 * 'Salt Evaporation Pond Costs'!$B$53</f>
        <v>736499.80362045369</v>
      </c>
      <c r="AK77" s="83">
        <f>AK78 * 'Salt Evaporation Pond Costs'!$B$53</f>
        <v>767840.22079579218</v>
      </c>
      <c r="AL77" s="83">
        <f>AL78 * 'Salt Evaporation Pond Costs'!$B$53</f>
        <v>799180.63797113067</v>
      </c>
      <c r="AM77" s="83">
        <f>AM78 * 'Salt Evaporation Pond Costs'!$B$53</f>
        <v>830521.05514646904</v>
      </c>
      <c r="AN77" s="83">
        <f>AN78 * 'Salt Evaporation Pond Costs'!$B$53</f>
        <v>861861.47232180764</v>
      </c>
      <c r="AO77" s="83">
        <f>AO78 * 'Salt Evaporation Pond Costs'!$B$53</f>
        <v>901036.99379098066</v>
      </c>
      <c r="AP77" s="83">
        <f>AP78 * 'Salt Evaporation Pond Costs'!$B$53</f>
        <v>932377.41096631903</v>
      </c>
      <c r="AQ77" s="83">
        <f>AQ78 * 'Salt Evaporation Pond Costs'!$B$53</f>
        <v>963717.82814165752</v>
      </c>
      <c r="AR77" s="83">
        <f>AR78 * 'Salt Evaporation Pond Costs'!$B$53</f>
        <v>1002893.3496108305</v>
      </c>
      <c r="AS77" s="83">
        <f>AS78 * 'Salt Evaporation Pond Costs'!$B$53</f>
        <v>1034233.766786169</v>
      </c>
      <c r="AT77" s="83">
        <f>AT78 * 'Salt Evaporation Pond Costs'!$B$53</f>
        <v>1065574.1839615074</v>
      </c>
      <c r="AU77" s="83">
        <f>AU78 * 'Salt Evaporation Pond Costs'!$B$53</f>
        <v>1104749.7054306807</v>
      </c>
      <c r="AV77" s="83">
        <f>AV78 * 'Salt Evaporation Pond Costs'!$B$53</f>
        <v>1136090.122606019</v>
      </c>
      <c r="AW77" s="83">
        <f>AW78 * 'Salt Evaporation Pond Costs'!$B$53</f>
        <v>1175265.644075192</v>
      </c>
      <c r="AX77" s="83">
        <f>AX78 * 'Salt Evaporation Pond Costs'!$B$53</f>
        <v>1214441.1655443651</v>
      </c>
      <c r="AY77" s="83">
        <f>AY78 * 'Salt Evaporation Pond Costs'!$B$53</f>
        <v>1245781.5827197037</v>
      </c>
      <c r="AZ77" s="83">
        <f>AZ78 * 'Salt Evaporation Pond Costs'!$B$53</f>
        <v>1284957.1041888769</v>
      </c>
      <c r="BA77" s="83">
        <f>BA78 * 'Salt Evaporation Pond Costs'!$B$53</f>
        <v>1316297.5213642151</v>
      </c>
      <c r="BB77" s="83">
        <f>BB78 * 'Salt Evaporation Pond Costs'!$B$53</f>
        <v>1355473.0428333883</v>
      </c>
      <c r="BC77" s="83">
        <f>BC78 * 'Salt Evaporation Pond Costs'!$B$53</f>
        <v>1394648.5643025616</v>
      </c>
      <c r="BD77" s="83">
        <f>BD78 * 'Salt Evaporation Pond Costs'!$B$53</f>
        <v>1433824.0857717344</v>
      </c>
      <c r="BE77" s="83">
        <f>BE78 * 'Salt Evaporation Pond Costs'!$B$53</f>
        <v>1465164.502947073</v>
      </c>
      <c r="BF77" s="83">
        <f>BF78 * 'Salt Evaporation Pond Costs'!$B$53</f>
        <v>1504340.024416246</v>
      </c>
      <c r="BG77" s="83">
        <f>BG78 * 'Salt Evaporation Pond Costs'!$B$53</f>
        <v>1543515.545885419</v>
      </c>
      <c r="BH77" s="83">
        <f>BH78 * 'Salt Evaporation Pond Costs'!$B$53</f>
        <v>1582691.067354592</v>
      </c>
      <c r="BI77" s="83"/>
    </row>
    <row r="78" spans="1:61" s="129" customFormat="1" x14ac:dyDescent="0.2">
      <c r="A78" s="129" t="s">
        <v>722</v>
      </c>
      <c r="B78" s="157"/>
      <c r="C78" s="130">
        <f xml:space="preserve"> C75 / 'Salt Evaporation Pond Costs'!$B$62</f>
        <v>0</v>
      </c>
      <c r="D78" s="130">
        <f xml:space="preserve"> D75 / 'Salt Evaporation Pond Costs'!$B$62</f>
        <v>0</v>
      </c>
      <c r="E78" s="130">
        <f xml:space="preserve"> E75 / 'Salt Evaporation Pond Costs'!$B$62</f>
        <v>0</v>
      </c>
      <c r="F78" s="130">
        <f xml:space="preserve"> F75 / 'Salt Evaporation Pond Costs'!$B$62</f>
        <v>0</v>
      </c>
      <c r="G78" s="130">
        <f xml:space="preserve"> G75 / 'Salt Evaporation Pond Costs'!$B$62</f>
        <v>0</v>
      </c>
      <c r="H78" s="130">
        <f xml:space="preserve"> H75 / 'Salt Evaporation Pond Costs'!$B$62</f>
        <v>0</v>
      </c>
      <c r="I78" s="130">
        <f xml:space="preserve"> I75 / 'Salt Evaporation Pond Costs'!$B$62</f>
        <v>4.5819323355757975</v>
      </c>
      <c r="J78" s="130">
        <f xml:space="preserve"> J75 / 'Salt Evaporation Pond Costs'!$B$62</f>
        <v>9.163864671151595</v>
      </c>
      <c r="K78" s="130">
        <f xml:space="preserve"> K75 / 'Salt Evaporation Pond Costs'!$B$62</f>
        <v>13.745797006727393</v>
      </c>
      <c r="L78" s="130">
        <f xml:space="preserve"> L75 / 'Salt Evaporation Pond Costs'!$B$62</f>
        <v>22.909661677878987</v>
      </c>
      <c r="M78" s="130">
        <f xml:space="preserve"> M75 / 'Salt Evaporation Pond Costs'!$B$62</f>
        <v>36.65545868460638</v>
      </c>
      <c r="N78" s="130">
        <f xml:space="preserve"> N75 / 'Salt Evaporation Pond Costs'!$B$62</f>
        <v>45.819323355757973</v>
      </c>
      <c r="O78" s="130">
        <f xml:space="preserve"> O75 / 'Salt Evaporation Pond Costs'!$B$62</f>
        <v>59.565120362485366</v>
      </c>
      <c r="P78" s="130">
        <f xml:space="preserve"> P75 / 'Salt Evaporation Pond Costs'!$B$62</f>
        <v>77.89284970478856</v>
      </c>
      <c r="Q78" s="130">
        <f xml:space="preserve"> Q75 / 'Salt Evaporation Pond Costs'!$B$62</f>
        <v>96.220579047091746</v>
      </c>
      <c r="R78" s="130">
        <f xml:space="preserve"> R75 / 'Salt Evaporation Pond Costs'!$B$62</f>
        <v>109.96637605381915</v>
      </c>
      <c r="S78" s="130">
        <f xml:space="preserve"> S75 / 'Salt Evaporation Pond Costs'!$B$62</f>
        <v>128.29410539612232</v>
      </c>
      <c r="T78" s="130">
        <f xml:space="preserve"> T75 / 'Salt Evaporation Pond Costs'!$B$62</f>
        <v>142.03990240284975</v>
      </c>
      <c r="U78" s="130">
        <f xml:space="preserve"> U75 / 'Salt Evaporation Pond Costs'!$B$62</f>
        <v>160.36763174515292</v>
      </c>
      <c r="V78" s="130">
        <f xml:space="preserve"> V75 / 'Salt Evaporation Pond Costs'!$B$62</f>
        <v>178.69536108745612</v>
      </c>
      <c r="W78" s="130">
        <f xml:space="preserve"> W75 / 'Salt Evaporation Pond Costs'!$B$62</f>
        <v>197.02309042975929</v>
      </c>
      <c r="X78" s="130">
        <f xml:space="preserve"> X75 / 'Salt Evaporation Pond Costs'!$B$62</f>
        <v>210.76888743648669</v>
      </c>
      <c r="Y78" s="130">
        <f xml:space="preserve"> Y75 / 'Salt Evaporation Pond Costs'!$B$62</f>
        <v>229.09661677878987</v>
      </c>
      <c r="Z78" s="130">
        <f xml:space="preserve"> Z75 / 'Salt Evaporation Pond Costs'!$B$62</f>
        <v>247.42434612109307</v>
      </c>
      <c r="AA78" s="130">
        <f xml:space="preserve"> AA75 / 'Salt Evaporation Pond Costs'!$B$62</f>
        <v>265.7520754633963</v>
      </c>
      <c r="AB78" s="130">
        <f xml:space="preserve"> AB75 / 'Salt Evaporation Pond Costs'!$B$62</f>
        <v>284.0798048056995</v>
      </c>
      <c r="AC78" s="130">
        <f xml:space="preserve"> AC75 / 'Salt Evaporation Pond Costs'!$B$62</f>
        <v>297.82560181242684</v>
      </c>
      <c r="AD78" s="130">
        <f xml:space="preserve"> AD75 / 'Salt Evaporation Pond Costs'!$B$62</f>
        <v>316.15333115473004</v>
      </c>
      <c r="AE78" s="130">
        <f xml:space="preserve"> AE75 / 'Salt Evaporation Pond Costs'!$B$62</f>
        <v>334.48106049703324</v>
      </c>
      <c r="AF78" s="130">
        <f xml:space="preserve"> AF75 / 'Salt Evaporation Pond Costs'!$B$62</f>
        <v>352.80878983933644</v>
      </c>
      <c r="AG78" s="130">
        <f xml:space="preserve"> AG75 / 'Salt Evaporation Pond Costs'!$B$62</f>
        <v>371.13651918163964</v>
      </c>
      <c r="AH78" s="130">
        <f xml:space="preserve"> AH75 / 'Salt Evaporation Pond Costs'!$B$62</f>
        <v>389.46424852394284</v>
      </c>
      <c r="AI78" s="130">
        <f xml:space="preserve"> AI75 / 'Salt Evaporation Pond Costs'!$B$62</f>
        <v>407.79197786624604</v>
      </c>
      <c r="AJ78" s="130">
        <f xml:space="preserve"> AJ75 / 'Salt Evaporation Pond Costs'!$B$62</f>
        <v>430.70163954412499</v>
      </c>
      <c r="AK78" s="130">
        <f xml:space="preserve"> AK75 / 'Salt Evaporation Pond Costs'!$B$62</f>
        <v>449.02936888642819</v>
      </c>
      <c r="AL78" s="130">
        <f xml:space="preserve"> AL75 / 'Salt Evaporation Pond Costs'!$B$62</f>
        <v>467.35709822873139</v>
      </c>
      <c r="AM78" s="130">
        <f xml:space="preserve"> AM75 / 'Salt Evaporation Pond Costs'!$B$62</f>
        <v>485.68482757103453</v>
      </c>
      <c r="AN78" s="130">
        <f xml:space="preserve"> AN75 / 'Salt Evaporation Pond Costs'!$B$62</f>
        <v>504.01255691333779</v>
      </c>
      <c r="AO78" s="130">
        <f xml:space="preserve"> AO75 / 'Salt Evaporation Pond Costs'!$B$62</f>
        <v>526.92221859121673</v>
      </c>
      <c r="AP78" s="130">
        <f xml:space="preserve"> AP75 / 'Salt Evaporation Pond Costs'!$B$62</f>
        <v>545.24994793351993</v>
      </c>
      <c r="AQ78" s="130">
        <f xml:space="preserve"> AQ75 / 'Salt Evaporation Pond Costs'!$B$62</f>
        <v>563.57767727582313</v>
      </c>
      <c r="AR78" s="130">
        <f xml:space="preserve"> AR75 / 'Salt Evaporation Pond Costs'!$B$62</f>
        <v>586.48733895370208</v>
      </c>
      <c r="AS78" s="130">
        <f xml:space="preserve"> AS75 / 'Salt Evaporation Pond Costs'!$B$62</f>
        <v>604.81506829600528</v>
      </c>
      <c r="AT78" s="130">
        <f xml:space="preserve"> AT75 / 'Salt Evaporation Pond Costs'!$B$62</f>
        <v>623.14279763830848</v>
      </c>
      <c r="AU78" s="130">
        <f xml:space="preserve"> AU75 / 'Salt Evaporation Pond Costs'!$B$62</f>
        <v>646.05245931618754</v>
      </c>
      <c r="AV78" s="130">
        <f xml:space="preserve"> AV75 / 'Salt Evaporation Pond Costs'!$B$62</f>
        <v>664.38018865849062</v>
      </c>
      <c r="AW78" s="130">
        <f xml:space="preserve"> AW75 / 'Salt Evaporation Pond Costs'!$B$62</f>
        <v>687.28985033636968</v>
      </c>
      <c r="AX78" s="130">
        <f xml:space="preserve"> AX75 / 'Salt Evaporation Pond Costs'!$B$62</f>
        <v>710.19951201424863</v>
      </c>
      <c r="AY78" s="130">
        <f xml:space="preserve"> AY75 / 'Salt Evaporation Pond Costs'!$B$62</f>
        <v>728.52724135655183</v>
      </c>
      <c r="AZ78" s="130">
        <f xml:space="preserve"> AZ75 / 'Salt Evaporation Pond Costs'!$B$62</f>
        <v>751.43690303443088</v>
      </c>
      <c r="BA78" s="130">
        <f xml:space="preserve"> BA75 / 'Salt Evaporation Pond Costs'!$B$62</f>
        <v>769.76463237673397</v>
      </c>
      <c r="BB78" s="130">
        <f xml:space="preserve"> BB75 / 'Salt Evaporation Pond Costs'!$B$62</f>
        <v>792.67429405461303</v>
      </c>
      <c r="BC78" s="130">
        <f xml:space="preserve"> BC75 / 'Salt Evaporation Pond Costs'!$B$62</f>
        <v>815.58395573249209</v>
      </c>
      <c r="BD78" s="130">
        <f xml:space="preserve"> BD75 / 'Salt Evaporation Pond Costs'!$B$62</f>
        <v>838.49361741037092</v>
      </c>
      <c r="BE78" s="130">
        <f xml:space="preserve"> BE75 / 'Salt Evaporation Pond Costs'!$B$62</f>
        <v>856.82134675267423</v>
      </c>
      <c r="BF78" s="130">
        <f xml:space="preserve"> BF75 / 'Salt Evaporation Pond Costs'!$B$62</f>
        <v>879.73100843055317</v>
      </c>
      <c r="BG78" s="130">
        <f xml:space="preserve"> BG75 / 'Salt Evaporation Pond Costs'!$B$62</f>
        <v>902.64067010843212</v>
      </c>
      <c r="BH78" s="130">
        <f xml:space="preserve"> BH75 / 'Salt Evaporation Pond Costs'!$B$62</f>
        <v>925.55033178631118</v>
      </c>
      <c r="BI78" s="131"/>
    </row>
    <row r="79" spans="1:61" x14ac:dyDescent="0.2">
      <c r="A79" t="s">
        <v>835</v>
      </c>
      <c r="B79" s="112">
        <v>2.94</v>
      </c>
      <c r="C79" s="103">
        <v>120</v>
      </c>
      <c r="D79" s="10">
        <f xml:space="preserve"> C79 + $B79</f>
        <v>122.94</v>
      </c>
      <c r="E79" s="10">
        <f t="shared" ref="E79:AO79" si="265" xml:space="preserve"> D79 + $B79</f>
        <v>125.88</v>
      </c>
      <c r="F79" s="10">
        <f t="shared" si="265"/>
        <v>128.82</v>
      </c>
      <c r="G79" s="10">
        <f t="shared" si="265"/>
        <v>131.76</v>
      </c>
      <c r="H79" s="10">
        <f t="shared" si="265"/>
        <v>134.69999999999999</v>
      </c>
      <c r="I79" s="10">
        <f t="shared" si="265"/>
        <v>137.63999999999999</v>
      </c>
      <c r="J79" s="10">
        <f t="shared" si="265"/>
        <v>140.57999999999998</v>
      </c>
      <c r="K79" s="10">
        <f t="shared" si="265"/>
        <v>143.51999999999998</v>
      </c>
      <c r="L79" s="10">
        <f t="shared" si="265"/>
        <v>146.45999999999998</v>
      </c>
      <c r="M79" s="10">
        <f t="shared" si="265"/>
        <v>149.39999999999998</v>
      </c>
      <c r="N79" s="10">
        <f t="shared" si="265"/>
        <v>152.33999999999997</v>
      </c>
      <c r="O79" s="10">
        <f t="shared" si="265"/>
        <v>155.27999999999997</v>
      </c>
      <c r="P79" s="10">
        <f t="shared" si="265"/>
        <v>158.21999999999997</v>
      </c>
      <c r="Q79" s="10">
        <f t="shared" si="265"/>
        <v>161.15999999999997</v>
      </c>
      <c r="R79" s="10">
        <f t="shared" si="265"/>
        <v>164.09999999999997</v>
      </c>
      <c r="S79" s="10">
        <f t="shared" si="265"/>
        <v>167.03999999999996</v>
      </c>
      <c r="T79" s="10">
        <f t="shared" si="265"/>
        <v>169.97999999999996</v>
      </c>
      <c r="U79" s="10">
        <f t="shared" si="265"/>
        <v>172.91999999999996</v>
      </c>
      <c r="V79" s="10">
        <f t="shared" si="265"/>
        <v>175.85999999999996</v>
      </c>
      <c r="W79" s="10">
        <f t="shared" si="265"/>
        <v>178.79999999999995</v>
      </c>
      <c r="X79" s="10">
        <f t="shared" si="265"/>
        <v>181.73999999999995</v>
      </c>
      <c r="Y79" s="10">
        <f t="shared" si="265"/>
        <v>184.67999999999995</v>
      </c>
      <c r="Z79" s="10">
        <f t="shared" si="265"/>
        <v>187.61999999999995</v>
      </c>
      <c r="AA79" s="10">
        <f t="shared" si="265"/>
        <v>190.55999999999995</v>
      </c>
      <c r="AB79" s="10">
        <f t="shared" si="265"/>
        <v>193.49999999999994</v>
      </c>
      <c r="AC79" s="10">
        <f t="shared" si="265"/>
        <v>196.43999999999994</v>
      </c>
      <c r="AD79" s="10">
        <f t="shared" si="265"/>
        <v>199.37999999999994</v>
      </c>
      <c r="AE79" s="10">
        <f t="shared" si="265"/>
        <v>202.31999999999994</v>
      </c>
      <c r="AF79" s="10">
        <f t="shared" si="265"/>
        <v>205.25999999999993</v>
      </c>
      <c r="AG79" s="10">
        <f t="shared" si="265"/>
        <v>208.19999999999993</v>
      </c>
      <c r="AH79" s="10">
        <f t="shared" si="265"/>
        <v>211.13999999999993</v>
      </c>
      <c r="AI79" s="10">
        <f t="shared" si="265"/>
        <v>214.07999999999993</v>
      </c>
      <c r="AJ79" s="10">
        <f t="shared" si="265"/>
        <v>217.01999999999992</v>
      </c>
      <c r="AK79" s="10">
        <f t="shared" si="265"/>
        <v>219.95999999999992</v>
      </c>
      <c r="AL79" s="10">
        <f t="shared" si="265"/>
        <v>222.89999999999992</v>
      </c>
      <c r="AM79" s="10">
        <f t="shared" si="265"/>
        <v>225.83999999999992</v>
      </c>
      <c r="AN79" s="10">
        <f t="shared" si="265"/>
        <v>228.77999999999992</v>
      </c>
      <c r="AO79" s="10">
        <f t="shared" si="265"/>
        <v>231.71999999999991</v>
      </c>
      <c r="AP79" s="10">
        <f t="shared" ref="AP79" si="266" xml:space="preserve"> AO79 + $B79</f>
        <v>234.65999999999991</v>
      </c>
      <c r="AQ79" s="10">
        <f t="shared" ref="AQ79" si="267" xml:space="preserve"> AP79 + $B79</f>
        <v>237.59999999999991</v>
      </c>
      <c r="AR79" s="10">
        <f t="shared" ref="AR79" si="268" xml:space="preserve"> AQ79 + $B79</f>
        <v>240.53999999999991</v>
      </c>
      <c r="AS79" s="10">
        <f t="shared" ref="AS79" si="269" xml:space="preserve"> AR79 + $B79</f>
        <v>243.4799999999999</v>
      </c>
      <c r="AT79" s="10">
        <f t="shared" ref="AT79" si="270" xml:space="preserve"> AS79 + $B79</f>
        <v>246.4199999999999</v>
      </c>
      <c r="AU79" s="10">
        <f t="shared" ref="AU79" si="271" xml:space="preserve"> AT79 + $B79</f>
        <v>249.3599999999999</v>
      </c>
      <c r="AV79" s="10">
        <f t="shared" ref="AV79" si="272" xml:space="preserve"> AU79 + $B79</f>
        <v>252.2999999999999</v>
      </c>
      <c r="AW79" s="10">
        <f t="shared" ref="AW79" si="273" xml:space="preserve"> AV79 + $B79</f>
        <v>255.2399999999999</v>
      </c>
      <c r="AX79" s="10">
        <f t="shared" ref="AX79" si="274" xml:space="preserve"> AW79 + $B79</f>
        <v>258.17999999999989</v>
      </c>
      <c r="AY79" s="10">
        <f t="shared" ref="AY79" si="275" xml:space="preserve"> AX79 + $B79</f>
        <v>261.11999999999989</v>
      </c>
      <c r="AZ79" s="10">
        <f t="shared" ref="AZ79" si="276" xml:space="preserve"> AY79 + $B79</f>
        <v>264.05999999999989</v>
      </c>
      <c r="BA79" s="10">
        <f t="shared" ref="BA79" si="277" xml:space="preserve"> AZ79 + $B79</f>
        <v>266.99999999999989</v>
      </c>
      <c r="BB79" s="10">
        <f t="shared" ref="BB79" si="278" xml:space="preserve"> BA79 + $B79</f>
        <v>269.93999999999988</v>
      </c>
      <c r="BC79" s="10">
        <f t="shared" ref="BC79" si="279" xml:space="preserve"> BB79 + $B79</f>
        <v>272.87999999999988</v>
      </c>
      <c r="BD79" s="10">
        <f t="shared" ref="BD79" si="280" xml:space="preserve"> BC79 + $B79</f>
        <v>275.81999999999988</v>
      </c>
      <c r="BE79" s="10">
        <f t="shared" ref="BE79" si="281" xml:space="preserve"> BD79 + $B79</f>
        <v>278.75999999999988</v>
      </c>
      <c r="BF79" s="10">
        <f t="shared" ref="BF79" si="282" xml:space="preserve"> BE79 + $B79</f>
        <v>281.69999999999987</v>
      </c>
      <c r="BG79" s="10">
        <f t="shared" ref="BG79:BH79" si="283" xml:space="preserve"> BF79 + $B79</f>
        <v>284.63999999999987</v>
      </c>
      <c r="BH79" s="10">
        <f t="shared" si="283"/>
        <v>287.57999999999987</v>
      </c>
      <c r="BI79" s="10"/>
    </row>
    <row r="80" spans="1:61" s="80" customFormat="1" x14ac:dyDescent="0.2">
      <c r="A80" s="80" t="s">
        <v>12</v>
      </c>
      <c r="B80" s="163"/>
      <c r="C80" s="81">
        <f t="shared" ref="C80:AM80" si="284">C75*C79</f>
        <v>0</v>
      </c>
      <c r="D80" s="81">
        <f t="shared" si="284"/>
        <v>0</v>
      </c>
      <c r="E80" s="81">
        <f t="shared" si="284"/>
        <v>0</v>
      </c>
      <c r="F80" s="81">
        <f t="shared" si="284"/>
        <v>0</v>
      </c>
      <c r="G80" s="81">
        <f t="shared" si="284"/>
        <v>0</v>
      </c>
      <c r="H80" s="81">
        <f t="shared" si="284"/>
        <v>0</v>
      </c>
      <c r="I80" s="81">
        <f t="shared" si="284"/>
        <v>2775267.5356595847</v>
      </c>
      <c r="J80" s="81">
        <f t="shared" si="284"/>
        <v>5669094.8875766406</v>
      </c>
      <c r="K80" s="81">
        <f t="shared" si="284"/>
        <v>8681482.0557511672</v>
      </c>
      <c r="L80" s="81">
        <f t="shared" si="284"/>
        <v>14765536.300228957</v>
      </c>
      <c r="M80" s="81">
        <f t="shared" si="284"/>
        <v>24099097.345396217</v>
      </c>
      <c r="N80" s="81">
        <f t="shared" si="284"/>
        <v>30716670.763032626</v>
      </c>
      <c r="O80" s="81">
        <f t="shared" si="284"/>
        <v>40702310.797615975</v>
      </c>
      <c r="P80" s="81">
        <f t="shared" si="284"/>
        <v>54233857.173532479</v>
      </c>
      <c r="Q80" s="81">
        <f t="shared" si="284"/>
        <v>68239642.814478859</v>
      </c>
      <c r="R80" s="81">
        <f t="shared" si="284"/>
        <v>79410881.011636928</v>
      </c>
      <c r="S80" s="81">
        <f t="shared" si="284"/>
        <v>94305865.274514332</v>
      </c>
      <c r="T80" s="81">
        <f t="shared" si="284"/>
        <v>106247742.27734599</v>
      </c>
      <c r="U80" s="81">
        <f t="shared" si="284"/>
        <v>122031925.16215442</v>
      </c>
      <c r="V80" s="81">
        <f t="shared" si="284"/>
        <v>138290347.31199276</v>
      </c>
      <c r="W80" s="81">
        <f t="shared" si="284"/>
        <v>155023008.72686097</v>
      </c>
      <c r="X80" s="81">
        <f t="shared" si="284"/>
        <v>168565443.24916849</v>
      </c>
      <c r="Y80" s="81">
        <f t="shared" si="284"/>
        <v>186187303.28596774</v>
      </c>
      <c r="Z80" s="81">
        <f t="shared" si="284"/>
        <v>204283402.58779687</v>
      </c>
      <c r="AA80" s="81">
        <f t="shared" si="284"/>
        <v>222853741.1546559</v>
      </c>
      <c r="AB80" s="81">
        <f t="shared" si="284"/>
        <v>241898318.98654485</v>
      </c>
      <c r="AC80" s="81">
        <f t="shared" si="284"/>
        <v>257456270.38522932</v>
      </c>
      <c r="AD80" s="81">
        <f t="shared" si="284"/>
        <v>277390046.83904928</v>
      </c>
      <c r="AE80" s="81">
        <f t="shared" si="284"/>
        <v>297798062.55789906</v>
      </c>
      <c r="AF80" s="81">
        <f t="shared" si="284"/>
        <v>318680317.5417788</v>
      </c>
      <c r="AG80" s="81">
        <f t="shared" si="284"/>
        <v>340036811.7906884</v>
      </c>
      <c r="AH80" s="81">
        <f t="shared" si="284"/>
        <v>361867545.3046279</v>
      </c>
      <c r="AI80" s="81">
        <f t="shared" si="284"/>
        <v>384172518.0835973</v>
      </c>
      <c r="AJ80" s="81">
        <f t="shared" si="284"/>
        <v>411327555.18273199</v>
      </c>
      <c r="AK80" s="81">
        <f t="shared" si="284"/>
        <v>434640286.39988989</v>
      </c>
      <c r="AL80" s="81">
        <f t="shared" si="284"/>
        <v>458427256.88207763</v>
      </c>
      <c r="AM80" s="81">
        <f t="shared" si="284"/>
        <v>482688466.62929523</v>
      </c>
      <c r="AN80" s="81">
        <f t="shared" ref="AN80:AP80" si="285">AN75*AN79</f>
        <v>507423915.64154285</v>
      </c>
      <c r="AO80" s="81">
        <f t="shared" si="285"/>
        <v>537305828.51459932</v>
      </c>
      <c r="AP80" s="81">
        <f t="shared" si="285"/>
        <v>563049035.96503544</v>
      </c>
      <c r="AQ80" s="81">
        <f t="shared" ref="AQ80:AS80" si="286">AQ75*AQ79</f>
        <v>589266482.68050134</v>
      </c>
      <c r="AR80" s="81">
        <f t="shared" si="286"/>
        <v>620808232.98116243</v>
      </c>
      <c r="AS80" s="81">
        <f t="shared" si="286"/>
        <v>648033438.13481688</v>
      </c>
      <c r="AT80" s="81">
        <f t="shared" ref="AT80:AY80" si="287">AT75*AT79</f>
        <v>675732882.55350125</v>
      </c>
      <c r="AU80" s="81">
        <f t="shared" si="287"/>
        <v>708934470.28176701</v>
      </c>
      <c r="AV80" s="81">
        <f t="shared" si="287"/>
        <v>737641673.13863981</v>
      </c>
      <c r="AW80" s="81">
        <f t="shared" si="287"/>
        <v>771969579.12135148</v>
      </c>
      <c r="AX80" s="81">
        <f t="shared" si="287"/>
        <v>806890284.18535054</v>
      </c>
      <c r="AY80" s="81">
        <f t="shared" si="287"/>
        <v>837138764.65357053</v>
      </c>
      <c r="AZ80" s="81">
        <f t="shared" ref="AZ80:BE80" si="288">AZ75*AZ79</f>
        <v>873185787.97201562</v>
      </c>
      <c r="BA80" s="81">
        <f t="shared" si="288"/>
        <v>904442026.87842405</v>
      </c>
      <c r="BB80" s="81">
        <f t="shared" si="288"/>
        <v>941615368.45131505</v>
      </c>
      <c r="BC80" s="81">
        <f t="shared" si="288"/>
        <v>979381509.10549343</v>
      </c>
      <c r="BD80" s="81">
        <f t="shared" si="288"/>
        <v>1017740448.8409591</v>
      </c>
      <c r="BE80" s="81">
        <f t="shared" si="288"/>
        <v>1051071484.5318733</v>
      </c>
      <c r="BF80" s="81">
        <f t="shared" ref="BF80:BG80" si="289">BF75*BF79</f>
        <v>1090556742.521785</v>
      </c>
      <c r="BG80" s="81">
        <f t="shared" si="289"/>
        <v>1130634799.5929842</v>
      </c>
      <c r="BH80" s="81">
        <f t="shared" ref="BH80" si="290">BH75*BH79</f>
        <v>1171305655.7454705</v>
      </c>
      <c r="BI80" s="81"/>
    </row>
    <row r="81" spans="1:61" x14ac:dyDescent="0.2">
      <c r="B81" s="3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</row>
    <row r="82" spans="1:61" x14ac:dyDescent="0.2">
      <c r="A82" t="s">
        <v>13</v>
      </c>
      <c r="B82" s="31"/>
      <c r="C82" s="122">
        <f t="shared" ref="C82:AL82" si="291" xml:space="preserve"> D83</f>
        <v>0</v>
      </c>
      <c r="D82" s="122">
        <f t="shared" si="291"/>
        <v>0</v>
      </c>
      <c r="E82" s="122">
        <f t="shared" si="291"/>
        <v>0</v>
      </c>
      <c r="F82" s="122">
        <f t="shared" si="291"/>
        <v>0</v>
      </c>
      <c r="G82" s="122">
        <f t="shared" si="291"/>
        <v>0</v>
      </c>
      <c r="H82" s="122">
        <f t="shared" si="291"/>
        <v>0</v>
      </c>
      <c r="I82" s="122">
        <f t="shared" si="291"/>
        <v>0</v>
      </c>
      <c r="J82" s="122">
        <f t="shared" si="291"/>
        <v>0</v>
      </c>
      <c r="K82" s="122">
        <f t="shared" si="291"/>
        <v>0</v>
      </c>
      <c r="L82" s="122">
        <f t="shared" si="291"/>
        <v>0</v>
      </c>
      <c r="M82" s="122">
        <f t="shared" si="291"/>
        <v>0</v>
      </c>
      <c r="N82" s="122">
        <f t="shared" si="291"/>
        <v>0</v>
      </c>
      <c r="O82" s="122">
        <f t="shared" si="291"/>
        <v>0</v>
      </c>
      <c r="P82" s="122">
        <f t="shared" si="291"/>
        <v>0</v>
      </c>
      <c r="Q82" s="122">
        <f t="shared" si="291"/>
        <v>0</v>
      </c>
      <c r="R82" s="122">
        <f t="shared" si="291"/>
        <v>0</v>
      </c>
      <c r="S82" s="122">
        <f t="shared" si="291"/>
        <v>0</v>
      </c>
      <c r="T82" s="122">
        <f t="shared" si="291"/>
        <v>0</v>
      </c>
      <c r="U82" s="122">
        <f t="shared" si="291"/>
        <v>0</v>
      </c>
      <c r="V82" s="122">
        <f t="shared" si="291"/>
        <v>0</v>
      </c>
      <c r="W82" s="122">
        <f t="shared" si="291"/>
        <v>0</v>
      </c>
      <c r="X82" s="122">
        <f t="shared" si="291"/>
        <v>0</v>
      </c>
      <c r="Y82" s="122">
        <f t="shared" si="291"/>
        <v>0</v>
      </c>
      <c r="Z82" s="122">
        <f t="shared" si="291"/>
        <v>0</v>
      </c>
      <c r="AA82" s="122">
        <f t="shared" si="291"/>
        <v>0</v>
      </c>
      <c r="AB82" s="122">
        <f t="shared" si="291"/>
        <v>0</v>
      </c>
      <c r="AC82" s="122">
        <f t="shared" si="291"/>
        <v>0</v>
      </c>
      <c r="AD82" s="122">
        <f t="shared" si="291"/>
        <v>0</v>
      </c>
      <c r="AE82" s="122">
        <f t="shared" si="291"/>
        <v>0</v>
      </c>
      <c r="AF82" s="122">
        <f t="shared" si="291"/>
        <v>0</v>
      </c>
      <c r="AG82" s="122">
        <f t="shared" si="291"/>
        <v>0</v>
      </c>
      <c r="AH82" s="122">
        <f t="shared" si="291"/>
        <v>0</v>
      </c>
      <c r="AI82" s="122">
        <f t="shared" si="291"/>
        <v>0</v>
      </c>
      <c r="AJ82" s="122">
        <f t="shared" si="291"/>
        <v>0</v>
      </c>
      <c r="AK82" s="122">
        <f t="shared" si="291"/>
        <v>0</v>
      </c>
      <c r="AL82" s="122">
        <f t="shared" si="291"/>
        <v>0</v>
      </c>
      <c r="AM82" s="122">
        <f t="shared" ref="AM82:BH82" si="292" xml:space="preserve"> BI83</f>
        <v>0</v>
      </c>
      <c r="AN82" s="122">
        <f t="shared" si="292"/>
        <v>0</v>
      </c>
      <c r="AO82" s="122">
        <f t="shared" si="292"/>
        <v>0</v>
      </c>
      <c r="AP82" s="122">
        <f t="shared" si="292"/>
        <v>0</v>
      </c>
      <c r="AQ82" s="122">
        <f t="shared" si="292"/>
        <v>0</v>
      </c>
      <c r="AR82" s="122">
        <f t="shared" si="292"/>
        <v>0</v>
      </c>
      <c r="AS82" s="122">
        <f t="shared" si="292"/>
        <v>0</v>
      </c>
      <c r="AT82" s="122">
        <f t="shared" si="292"/>
        <v>0</v>
      </c>
      <c r="AU82" s="122">
        <f t="shared" si="292"/>
        <v>0</v>
      </c>
      <c r="AV82" s="122">
        <f t="shared" si="292"/>
        <v>0</v>
      </c>
      <c r="AW82" s="122">
        <f t="shared" si="292"/>
        <v>0</v>
      </c>
      <c r="AX82" s="122">
        <f t="shared" si="292"/>
        <v>0</v>
      </c>
      <c r="AY82" s="122">
        <f t="shared" si="292"/>
        <v>0</v>
      </c>
      <c r="AZ82" s="122">
        <f t="shared" si="292"/>
        <v>0</v>
      </c>
      <c r="BA82" s="122">
        <f t="shared" si="292"/>
        <v>0</v>
      </c>
      <c r="BB82" s="122">
        <f t="shared" si="292"/>
        <v>0</v>
      </c>
      <c r="BC82" s="122">
        <f t="shared" si="292"/>
        <v>0</v>
      </c>
      <c r="BD82" s="122">
        <f t="shared" si="292"/>
        <v>0</v>
      </c>
      <c r="BE82" s="122">
        <f t="shared" si="292"/>
        <v>0</v>
      </c>
      <c r="BF82" s="122">
        <f t="shared" si="292"/>
        <v>0</v>
      </c>
      <c r="BG82" s="122">
        <f t="shared" si="292"/>
        <v>0</v>
      </c>
      <c r="BH82" s="122">
        <f t="shared" si="292"/>
        <v>0</v>
      </c>
    </row>
    <row r="83" spans="1:61" x14ac:dyDescent="0.2">
      <c r="A83" t="s">
        <v>14</v>
      </c>
      <c r="B83" s="31"/>
      <c r="C83" s="122">
        <f t="shared" ref="C83:AL83" si="293" xml:space="preserve"> D84-C84</f>
        <v>0</v>
      </c>
      <c r="D83" s="122">
        <f t="shared" si="293"/>
        <v>0</v>
      </c>
      <c r="E83" s="122">
        <f t="shared" si="293"/>
        <v>0</v>
      </c>
      <c r="F83" s="122">
        <f t="shared" si="293"/>
        <v>0</v>
      </c>
      <c r="G83" s="122">
        <f t="shared" si="293"/>
        <v>0</v>
      </c>
      <c r="H83" s="122">
        <f t="shared" si="293"/>
        <v>0</v>
      </c>
      <c r="I83" s="122">
        <f t="shared" si="293"/>
        <v>0</v>
      </c>
      <c r="J83" s="122">
        <f t="shared" si="293"/>
        <v>0</v>
      </c>
      <c r="K83" s="122">
        <f t="shared" si="293"/>
        <v>0</v>
      </c>
      <c r="L83" s="122">
        <f t="shared" si="293"/>
        <v>0</v>
      </c>
      <c r="M83" s="122">
        <f t="shared" si="293"/>
        <v>0</v>
      </c>
      <c r="N83" s="122">
        <f t="shared" si="293"/>
        <v>0</v>
      </c>
      <c r="O83" s="122">
        <f t="shared" si="293"/>
        <v>0</v>
      </c>
      <c r="P83" s="122">
        <f t="shared" si="293"/>
        <v>0</v>
      </c>
      <c r="Q83" s="122">
        <f t="shared" si="293"/>
        <v>0</v>
      </c>
      <c r="R83" s="122">
        <f t="shared" si="293"/>
        <v>0</v>
      </c>
      <c r="S83" s="122">
        <f t="shared" si="293"/>
        <v>0</v>
      </c>
      <c r="T83" s="122">
        <f t="shared" si="293"/>
        <v>0</v>
      </c>
      <c r="U83" s="122">
        <f t="shared" si="293"/>
        <v>0</v>
      </c>
      <c r="V83" s="122">
        <f t="shared" si="293"/>
        <v>0</v>
      </c>
      <c r="W83" s="122">
        <f t="shared" si="293"/>
        <v>0</v>
      </c>
      <c r="X83" s="122">
        <f t="shared" si="293"/>
        <v>0</v>
      </c>
      <c r="Y83" s="122">
        <f t="shared" si="293"/>
        <v>0</v>
      </c>
      <c r="Z83" s="122">
        <f t="shared" si="293"/>
        <v>0</v>
      </c>
      <c r="AA83" s="122">
        <f t="shared" si="293"/>
        <v>0</v>
      </c>
      <c r="AB83" s="122">
        <f t="shared" si="293"/>
        <v>0</v>
      </c>
      <c r="AC83" s="122">
        <f t="shared" si="293"/>
        <v>0</v>
      </c>
      <c r="AD83" s="122">
        <f t="shared" si="293"/>
        <v>0</v>
      </c>
      <c r="AE83" s="122">
        <f t="shared" si="293"/>
        <v>0</v>
      </c>
      <c r="AF83" s="122">
        <f t="shared" si="293"/>
        <v>0</v>
      </c>
      <c r="AG83" s="122">
        <f t="shared" si="293"/>
        <v>0</v>
      </c>
      <c r="AH83" s="122">
        <f t="shared" si="293"/>
        <v>0</v>
      </c>
      <c r="AI83" s="122">
        <f t="shared" si="293"/>
        <v>0</v>
      </c>
      <c r="AJ83" s="122">
        <f t="shared" si="293"/>
        <v>0</v>
      </c>
      <c r="AK83" s="122">
        <f t="shared" si="293"/>
        <v>0</v>
      </c>
      <c r="AL83" s="122">
        <f t="shared" si="293"/>
        <v>0</v>
      </c>
      <c r="AM83" s="122">
        <v>0</v>
      </c>
      <c r="AN83" s="122">
        <v>0</v>
      </c>
      <c r="AO83" s="122">
        <v>0</v>
      </c>
      <c r="AP83" s="122">
        <v>0</v>
      </c>
      <c r="AQ83" s="122">
        <v>0</v>
      </c>
      <c r="AR83" s="122">
        <v>0</v>
      </c>
      <c r="AS83" s="122">
        <v>0</v>
      </c>
      <c r="AT83" s="122">
        <v>0</v>
      </c>
      <c r="AU83" s="122">
        <v>0</v>
      </c>
      <c r="AV83" s="122">
        <v>0</v>
      </c>
      <c r="AW83" s="122">
        <v>0</v>
      </c>
      <c r="AX83" s="122">
        <v>0</v>
      </c>
      <c r="AY83" s="122">
        <v>0</v>
      </c>
      <c r="AZ83" s="122">
        <v>0</v>
      </c>
      <c r="BA83" s="122">
        <v>0</v>
      </c>
      <c r="BB83" s="122">
        <v>0</v>
      </c>
      <c r="BC83" s="122">
        <v>0</v>
      </c>
      <c r="BD83" s="122">
        <v>0</v>
      </c>
      <c r="BE83" s="122">
        <v>0</v>
      </c>
      <c r="BF83" s="122">
        <v>0</v>
      </c>
      <c r="BG83" s="122">
        <v>0</v>
      </c>
      <c r="BH83" s="122">
        <v>0</v>
      </c>
    </row>
    <row r="84" spans="1:61" x14ac:dyDescent="0.2">
      <c r="A84" t="s">
        <v>15</v>
      </c>
      <c r="B84" s="31"/>
      <c r="C84">
        <v>0</v>
      </c>
      <c r="D84">
        <f>IF(AND(D69&gt;0),C84+1,C84)</f>
        <v>0</v>
      </c>
      <c r="E84">
        <f>IF(AND(E69&gt;1,D95&lt;0.5),D84+1,D84)</f>
        <v>0</v>
      </c>
      <c r="F84">
        <f>IF(AND(F69&gt;1,E95&lt;0.3),E84+1,E84)</f>
        <v>0</v>
      </c>
      <c r="G84">
        <f>IF(AND(G69&gt;1,F95&lt;0.3),F84+1,F84)</f>
        <v>0</v>
      </c>
      <c r="H84">
        <f>IF(AND(H69&gt;=1,G95&lt;0.4),G84+1,G84)</f>
        <v>0</v>
      </c>
      <c r="I84">
        <f t="shared" ref="I84:AO84" si="294">IF(AND(I69&gt;1,H95&lt;0.3),H84+1,H84)</f>
        <v>0</v>
      </c>
      <c r="J84">
        <f t="shared" si="294"/>
        <v>0</v>
      </c>
      <c r="K84">
        <f t="shared" si="294"/>
        <v>0</v>
      </c>
      <c r="L84">
        <f t="shared" si="294"/>
        <v>0</v>
      </c>
      <c r="M84">
        <f t="shared" si="294"/>
        <v>0</v>
      </c>
      <c r="N84">
        <f t="shared" si="294"/>
        <v>0</v>
      </c>
      <c r="O84">
        <f t="shared" si="294"/>
        <v>0</v>
      </c>
      <c r="P84">
        <f t="shared" si="294"/>
        <v>0</v>
      </c>
      <c r="Q84">
        <f t="shared" si="294"/>
        <v>0</v>
      </c>
      <c r="R84">
        <f t="shared" si="294"/>
        <v>0</v>
      </c>
      <c r="S84">
        <f t="shared" si="294"/>
        <v>0</v>
      </c>
      <c r="T84">
        <f t="shared" si="294"/>
        <v>0</v>
      </c>
      <c r="U84">
        <f t="shared" si="294"/>
        <v>0</v>
      </c>
      <c r="V84">
        <f t="shared" si="294"/>
        <v>0</v>
      </c>
      <c r="W84">
        <f t="shared" si="294"/>
        <v>0</v>
      </c>
      <c r="X84">
        <f t="shared" si="294"/>
        <v>0</v>
      </c>
      <c r="Y84">
        <f t="shared" si="294"/>
        <v>0</v>
      </c>
      <c r="Z84">
        <f t="shared" si="294"/>
        <v>0</v>
      </c>
      <c r="AA84">
        <f t="shared" si="294"/>
        <v>0</v>
      </c>
      <c r="AB84">
        <f t="shared" si="294"/>
        <v>0</v>
      </c>
      <c r="AC84">
        <f t="shared" si="294"/>
        <v>0</v>
      </c>
      <c r="AD84">
        <f t="shared" si="294"/>
        <v>0</v>
      </c>
      <c r="AE84">
        <f t="shared" si="294"/>
        <v>0</v>
      </c>
      <c r="AF84">
        <f t="shared" si="294"/>
        <v>0</v>
      </c>
      <c r="AG84">
        <f t="shared" si="294"/>
        <v>0</v>
      </c>
      <c r="AH84">
        <f t="shared" si="294"/>
        <v>0</v>
      </c>
      <c r="AI84">
        <f t="shared" si="294"/>
        <v>0</v>
      </c>
      <c r="AJ84">
        <f t="shared" si="294"/>
        <v>0</v>
      </c>
      <c r="AK84">
        <f t="shared" si="294"/>
        <v>0</v>
      </c>
      <c r="AL84">
        <f t="shared" si="294"/>
        <v>0</v>
      </c>
      <c r="AM84">
        <f t="shared" si="294"/>
        <v>0</v>
      </c>
      <c r="AN84">
        <f t="shared" si="294"/>
        <v>0</v>
      </c>
      <c r="AO84">
        <f t="shared" si="294"/>
        <v>0</v>
      </c>
      <c r="AP84">
        <f t="shared" ref="AP84" si="295">IF(AND(AP69&gt;1,AO95&lt;0.3),AO84+1,AO84)</f>
        <v>0</v>
      </c>
      <c r="AQ84">
        <f t="shared" ref="AQ84" si="296">IF(AND(AQ69&gt;1,AP95&lt;0.3),AP84+1,AP84)</f>
        <v>0</v>
      </c>
      <c r="AR84">
        <f t="shared" ref="AR84" si="297">IF(AND(AR69&gt;1,AQ95&lt;0.3),AQ84+1,AQ84)</f>
        <v>0</v>
      </c>
      <c r="AS84">
        <f t="shared" ref="AS84" si="298">IF(AND(AS69&gt;1,AR95&lt;0.3),AR84+1,AR84)</f>
        <v>0</v>
      </c>
      <c r="AT84">
        <f t="shared" ref="AT84" si="299">IF(AND(AT69&gt;1,AS95&lt;0.3),AS84+1,AS84)</f>
        <v>0</v>
      </c>
      <c r="AU84">
        <f t="shared" ref="AU84" si="300">IF(AND(AU69&gt;1,AT95&lt;0.3),AT84+1,AT84)</f>
        <v>0</v>
      </c>
      <c r="AV84">
        <f t="shared" ref="AV84" si="301">IF(AND(AV69&gt;1,AU95&lt;0.3),AU84+1,AU84)</f>
        <v>0</v>
      </c>
      <c r="AW84">
        <f t="shared" ref="AW84" si="302">IF(AND(AW69&gt;1,AV95&lt;0.3),AV84+1,AV84)</f>
        <v>0</v>
      </c>
      <c r="AX84">
        <f t="shared" ref="AX84" si="303">IF(AND(AX69&gt;1,AW95&lt;0.3),AW84+1,AW84)</f>
        <v>0</v>
      </c>
      <c r="AY84">
        <f t="shared" ref="AY84" si="304">IF(AND(AY69&gt;1,AX95&lt;0.3),AX84+1,AX84)</f>
        <v>0</v>
      </c>
      <c r="AZ84">
        <f t="shared" ref="AZ84" si="305">IF(AND(AZ69&gt;1,AY95&lt;0.3),AY84+1,AY84)</f>
        <v>0</v>
      </c>
      <c r="BA84">
        <f t="shared" ref="BA84" si="306">IF(AND(BA69&gt;1,AZ95&lt;0.3),AZ84+1,AZ84)</f>
        <v>0</v>
      </c>
      <c r="BB84">
        <f t="shared" ref="BB84" si="307">IF(AND(BB69&gt;1,BA95&lt;0.3),BA84+1,BA84)</f>
        <v>0</v>
      </c>
      <c r="BC84">
        <f t="shared" ref="BC84" si="308">IF(AND(BC69&gt;1,BB95&lt;0.3),BB84+1,BB84)</f>
        <v>0</v>
      </c>
      <c r="BD84">
        <f t="shared" ref="BD84" si="309">IF(AND(BD69&gt;1,BC95&lt;0.3),BC84+1,BC84)</f>
        <v>0</v>
      </c>
      <c r="BE84">
        <f t="shared" ref="BE84" si="310">IF(AND(BE69&gt;1,BD95&lt;0.3),BD84+1,BD84)</f>
        <v>0</v>
      </c>
      <c r="BF84">
        <f t="shared" ref="BF84" si="311">IF(AND(BF69&gt;1,BE95&lt;0.3),BE84+1,BE84)</f>
        <v>0</v>
      </c>
      <c r="BG84">
        <f t="shared" ref="BG84:BH84" si="312">IF(AND(BG69&gt;1,BF95&lt;0.3),BF84+1,BF84)</f>
        <v>0</v>
      </c>
      <c r="BH84">
        <f t="shared" si="312"/>
        <v>0</v>
      </c>
    </row>
    <row r="85" spans="1:61" x14ac:dyDescent="0.2">
      <c r="A85" t="s">
        <v>16</v>
      </c>
      <c r="B85" s="31"/>
      <c r="C85" s="5">
        <f>C84*'Levellized Salt Refinery Plant '!$C$53</f>
        <v>0</v>
      </c>
      <c r="D85" s="5">
        <f>D84*'Levellized Salt Refinery Plant '!$C$53</f>
        <v>0</v>
      </c>
      <c r="E85" s="5">
        <f>E84*'Levellized Salt Refinery Plant '!$C$53</f>
        <v>0</v>
      </c>
      <c r="F85" s="5">
        <f>F84*'Levellized Salt Refinery Plant '!$C$53</f>
        <v>0</v>
      </c>
      <c r="G85" s="5">
        <f>G84*'Levellized Salt Refinery Plant '!$C$53</f>
        <v>0</v>
      </c>
      <c r="H85" s="5">
        <f>H84*'Levellized Salt Refinery Plant '!$C$53</f>
        <v>0</v>
      </c>
      <c r="I85" s="5">
        <f>I84*'Levellized Salt Refinery Plant '!$C$53</f>
        <v>0</v>
      </c>
      <c r="J85" s="5">
        <f>J84*'Levellized Salt Refinery Plant '!$C$53</f>
        <v>0</v>
      </c>
      <c r="K85" s="5">
        <f>K84*'Levellized Salt Refinery Plant '!$C$53</f>
        <v>0</v>
      </c>
      <c r="L85" s="5">
        <f>L84*'Levellized Salt Refinery Plant '!$C$53</f>
        <v>0</v>
      </c>
      <c r="M85" s="5">
        <f>M84*'Levellized Salt Refinery Plant '!$C$53</f>
        <v>0</v>
      </c>
      <c r="N85" s="5">
        <f>N84*'Levellized Salt Refinery Plant '!$C$53</f>
        <v>0</v>
      </c>
      <c r="O85" s="5">
        <f>O84*'Levellized Salt Refinery Plant '!$C$53</f>
        <v>0</v>
      </c>
      <c r="P85" s="5">
        <f>P84*'Levellized Salt Refinery Plant '!$C$53</f>
        <v>0</v>
      </c>
      <c r="Q85" s="5">
        <f>Q84*'Levellized Salt Refinery Plant '!$C$53</f>
        <v>0</v>
      </c>
      <c r="R85" s="5">
        <f>R84*'Levellized Salt Refinery Plant '!$C$53</f>
        <v>0</v>
      </c>
      <c r="S85" s="5">
        <f>S84*'Levellized Salt Refinery Plant '!$C$53</f>
        <v>0</v>
      </c>
      <c r="T85" s="5">
        <f>T84*'Levellized Salt Refinery Plant '!$C$53</f>
        <v>0</v>
      </c>
      <c r="U85" s="5">
        <f>U84*'Levellized Salt Refinery Plant '!$C$53</f>
        <v>0</v>
      </c>
      <c r="V85" s="5">
        <f>V84*'Levellized Salt Refinery Plant '!$C$53</f>
        <v>0</v>
      </c>
      <c r="W85" s="5">
        <f>W84*'Levellized Salt Refinery Plant '!$C$53</f>
        <v>0</v>
      </c>
      <c r="X85" s="5">
        <f>X84*'Levellized Salt Refinery Plant '!$C$53</f>
        <v>0</v>
      </c>
      <c r="Y85" s="5">
        <f>Y84*'Levellized Salt Refinery Plant '!$C$53</f>
        <v>0</v>
      </c>
      <c r="Z85" s="5">
        <f>Z84*'Levellized Salt Refinery Plant '!$C$53</f>
        <v>0</v>
      </c>
      <c r="AA85" s="5">
        <f>AA84*'Levellized Salt Refinery Plant '!$C$53</f>
        <v>0</v>
      </c>
      <c r="AB85" s="5">
        <f>AB84*'Levellized Salt Refinery Plant '!$C$53</f>
        <v>0</v>
      </c>
      <c r="AC85" s="5">
        <f>AC84*'Levellized Salt Refinery Plant '!$C$53</f>
        <v>0</v>
      </c>
      <c r="AD85" s="5">
        <f>AD84*'Levellized Salt Refinery Plant '!$C$53</f>
        <v>0</v>
      </c>
      <c r="AE85" s="5">
        <f>AE84*'Levellized Salt Refinery Plant '!$C$53</f>
        <v>0</v>
      </c>
      <c r="AF85" s="5">
        <f>AF84*'Levellized Salt Refinery Plant '!$C$53</f>
        <v>0</v>
      </c>
      <c r="AG85" s="5">
        <f>AG84*'Levellized Salt Refinery Plant '!$C$53</f>
        <v>0</v>
      </c>
      <c r="AH85" s="5">
        <f>AH84*'Levellized Salt Refinery Plant '!$C$53</f>
        <v>0</v>
      </c>
      <c r="AI85" s="5">
        <f>AI84*'Levellized Salt Refinery Plant '!$C$53</f>
        <v>0</v>
      </c>
      <c r="AJ85" s="5">
        <f>AJ84*'Levellized Salt Refinery Plant '!$C$53</f>
        <v>0</v>
      </c>
      <c r="AK85" s="5">
        <f>AK84*'Levellized Salt Refinery Plant '!$C$53</f>
        <v>0</v>
      </c>
      <c r="AL85" s="5">
        <f>AL84*'Levellized Salt Refinery Plant '!$C$53</f>
        <v>0</v>
      </c>
      <c r="AM85" s="5">
        <f>AM84*'Levellized Salt Refinery Plant '!$C$53</f>
        <v>0</v>
      </c>
      <c r="AN85" s="5">
        <f>AN84*'Levellized Salt Refinery Plant '!$C$53</f>
        <v>0</v>
      </c>
      <c r="AO85" s="5">
        <f>AO84*'Levellized Salt Refinery Plant '!$C$53</f>
        <v>0</v>
      </c>
      <c r="AP85" s="5">
        <f>AP84*'Levellized Salt Refinery Plant '!$C$53</f>
        <v>0</v>
      </c>
      <c r="AQ85" s="5">
        <f>AQ84*'Levellized Salt Refinery Plant '!$C$53</f>
        <v>0</v>
      </c>
      <c r="AR85" s="5">
        <f>AR84*'Levellized Salt Refinery Plant '!$C$53</f>
        <v>0</v>
      </c>
      <c r="AS85" s="5">
        <f>AS84*'Levellized Salt Refinery Plant '!$C$53</f>
        <v>0</v>
      </c>
      <c r="AT85" s="5">
        <f>AT84*'Levellized Salt Refinery Plant '!$C$53</f>
        <v>0</v>
      </c>
      <c r="AU85" s="5">
        <f>AU84*'Levellized Salt Refinery Plant '!$C$53</f>
        <v>0</v>
      </c>
      <c r="AV85" s="5">
        <f>AV84*'Levellized Salt Refinery Plant '!$C$53</f>
        <v>0</v>
      </c>
      <c r="AW85" s="5">
        <f>AW84*'Levellized Salt Refinery Plant '!$C$53</f>
        <v>0</v>
      </c>
      <c r="AX85" s="5">
        <f>AX84*'Levellized Salt Refinery Plant '!$C$53</f>
        <v>0</v>
      </c>
      <c r="AY85" s="5">
        <f>AY84*'Levellized Salt Refinery Plant '!$C$53</f>
        <v>0</v>
      </c>
      <c r="AZ85" s="5">
        <f>AZ84*'Levellized Salt Refinery Plant '!$C$53</f>
        <v>0</v>
      </c>
      <c r="BA85" s="5">
        <f>BA84*'Levellized Salt Refinery Plant '!$C$53</f>
        <v>0</v>
      </c>
      <c r="BB85" s="5">
        <f>BB84*'Levellized Salt Refinery Plant '!$C$53</f>
        <v>0</v>
      </c>
      <c r="BC85" s="5">
        <f>BC84*'Levellized Salt Refinery Plant '!$C$53</f>
        <v>0</v>
      </c>
      <c r="BD85" s="5">
        <f>BD84*'Levellized Salt Refinery Plant '!$C$53</f>
        <v>0</v>
      </c>
      <c r="BE85" s="5">
        <f>BE84*'Levellized Salt Refinery Plant '!$C$53</f>
        <v>0</v>
      </c>
      <c r="BF85" s="5">
        <f>BF84*'Levellized Salt Refinery Plant '!$C$53</f>
        <v>0</v>
      </c>
      <c r="BG85" s="5">
        <f>BG84*'Levellized Salt Refinery Plant '!$C$53</f>
        <v>0</v>
      </c>
      <c r="BH85" s="5">
        <f>BH84*'Levellized Salt Refinery Plant '!$C$53</f>
        <v>0</v>
      </c>
      <c r="BI85" s="5"/>
    </row>
    <row r="86" spans="1:61" s="82" customFormat="1" x14ac:dyDescent="0.2">
      <c r="A86" s="82" t="s">
        <v>17</v>
      </c>
      <c r="B86" s="156"/>
      <c r="C86" s="83">
        <f>IF(C83&gt;0,C83*'Levellized Salt Refinery Plant '!$C$2,0)</f>
        <v>0</v>
      </c>
      <c r="D86" s="83">
        <f>IF(D83&gt;0,D83*'Levellized Salt Refinery Plant '!$C$2,0)</f>
        <v>0</v>
      </c>
      <c r="E86" s="83">
        <f>IF(E83&gt;0,E83*'Levellized Salt Refinery Plant '!$C$2,0)</f>
        <v>0</v>
      </c>
      <c r="F86" s="83">
        <f>IF(F83&gt;0,F83*'Levellized Salt Refinery Plant '!$C$2,0)</f>
        <v>0</v>
      </c>
      <c r="G86" s="83">
        <f>IF(G83&gt;0,G83*'Levellized Salt Refinery Plant '!$C$2,0)</f>
        <v>0</v>
      </c>
      <c r="H86" s="83">
        <f>IF(H83&gt;0,H83*'Levellized Salt Refinery Plant '!$C$2,0)</f>
        <v>0</v>
      </c>
      <c r="I86" s="83">
        <f>IF(I83&gt;0,I83*'Levellized Salt Refinery Plant '!$C$2,0)</f>
        <v>0</v>
      </c>
      <c r="J86" s="83">
        <f>IF(J83&gt;0,J83*'Levellized Salt Refinery Plant '!$C$2,0)</f>
        <v>0</v>
      </c>
      <c r="K86" s="83">
        <f>IF(K83&gt;0,K83*'Levellized Salt Refinery Plant '!$C$2,0)</f>
        <v>0</v>
      </c>
      <c r="L86" s="83">
        <f>IF(L83&gt;0,L83*'Levellized Salt Refinery Plant '!$C$2,0)</f>
        <v>0</v>
      </c>
      <c r="M86" s="83">
        <f>IF(M83&gt;0,M83*'Levellized Salt Refinery Plant '!$C$2,0)</f>
        <v>0</v>
      </c>
      <c r="N86" s="83">
        <f>IF(N83&gt;0,N83*'Levellized Salt Refinery Plant '!$C$2,0)</f>
        <v>0</v>
      </c>
      <c r="O86" s="83">
        <f>IF(O83&gt;0,O83*'Levellized Salt Refinery Plant '!$C$2,0)</f>
        <v>0</v>
      </c>
      <c r="P86" s="83">
        <f>IF(P83&gt;0,P83*'Levellized Salt Refinery Plant '!$C$2,0)</f>
        <v>0</v>
      </c>
      <c r="Q86" s="83">
        <f>IF(Q83&gt;0,Q83*'Levellized Salt Refinery Plant '!$C$2,0)</f>
        <v>0</v>
      </c>
      <c r="R86" s="83">
        <f>IF(R83&gt;0,R83*'Levellized Salt Refinery Plant '!$C$2,0)</f>
        <v>0</v>
      </c>
      <c r="S86" s="83">
        <f>IF(S83&gt;0,S83*'Levellized Salt Refinery Plant '!$C$2,0)</f>
        <v>0</v>
      </c>
      <c r="T86" s="83">
        <f>IF(T83&gt;0,T83*'Levellized Salt Refinery Plant '!$C$2,0)</f>
        <v>0</v>
      </c>
      <c r="U86" s="83">
        <f>IF(U83&gt;0,U83*'Levellized Salt Refinery Plant '!$C$2,0)</f>
        <v>0</v>
      </c>
      <c r="V86" s="83">
        <f>IF(V83&gt;0,V83*'Levellized Salt Refinery Plant '!$C$2,0)</f>
        <v>0</v>
      </c>
      <c r="W86" s="83">
        <f>IF(W83&gt;0,W83*'Levellized Salt Refinery Plant '!$C$2,0)</f>
        <v>0</v>
      </c>
      <c r="X86" s="83">
        <f>IF(X83&gt;0,X83*'Levellized Salt Refinery Plant '!$C$2,0)</f>
        <v>0</v>
      </c>
      <c r="Y86" s="83">
        <f>IF(Y83&gt;0,Y83*'Levellized Salt Refinery Plant '!$C$2,0)</f>
        <v>0</v>
      </c>
      <c r="Z86" s="83">
        <f>IF(Z83&gt;0,Z83*'Levellized Salt Refinery Plant '!$C$2,0)</f>
        <v>0</v>
      </c>
      <c r="AA86" s="83">
        <f>IF(AA83&gt;0,AA83*'Levellized Salt Refinery Plant '!$C$2,0)</f>
        <v>0</v>
      </c>
      <c r="AB86" s="83">
        <f>IF(AB83&gt;0,AB83*'Levellized Salt Refinery Plant '!$C$2,0)</f>
        <v>0</v>
      </c>
      <c r="AC86" s="83">
        <f>IF(AC83&gt;0,AC83*'Levellized Salt Refinery Plant '!$C$2,0)</f>
        <v>0</v>
      </c>
      <c r="AD86" s="83">
        <f>IF(AD83&gt;0,AD83*'Levellized Salt Refinery Plant '!$C$2,0)</f>
        <v>0</v>
      </c>
      <c r="AE86" s="83">
        <f>IF(AE83&gt;0,AE83*'Levellized Salt Refinery Plant '!$C$2,0)</f>
        <v>0</v>
      </c>
      <c r="AF86" s="83">
        <f>IF(AF83&gt;0,AF83*'Levellized Salt Refinery Plant '!$C$2,0)</f>
        <v>0</v>
      </c>
      <c r="AG86" s="83">
        <f>IF(AG83&gt;0,AG83*'Levellized Salt Refinery Plant '!$C$2,0)</f>
        <v>0</v>
      </c>
      <c r="AH86" s="83">
        <f>IF(AH83&gt;0,AH83*'Levellized Salt Refinery Plant '!$C$2,0)</f>
        <v>0</v>
      </c>
      <c r="AI86" s="83">
        <f>IF(AI83&gt;0,AI83*'Levellized Salt Refinery Plant '!$C$2,0)</f>
        <v>0</v>
      </c>
      <c r="AJ86" s="83">
        <f>IF(AJ83&gt;0,AJ83*'Levellized Salt Refinery Plant '!$C$2,0)</f>
        <v>0</v>
      </c>
      <c r="AK86" s="83">
        <f>IF(AK83&gt;0,AK83*'Levellized Salt Refinery Plant '!$C$2,0)</f>
        <v>0</v>
      </c>
      <c r="AL86" s="83">
        <f>IF(AL83&gt;0,AL83*'Levellized Salt Refinery Plant '!$C$2,0)</f>
        <v>0</v>
      </c>
      <c r="AM86" s="83">
        <f>IF(AM83&gt;0,AM83*'Levellized Salt Refinery Plant '!$C$2,0)</f>
        <v>0</v>
      </c>
      <c r="AN86" s="83">
        <f>IF(AN83&gt;0,AN83*'Levellized Salt Refinery Plant '!$C$2,0)</f>
        <v>0</v>
      </c>
      <c r="AO86" s="83">
        <f>IF(AO83&gt;0,AO83*'Levellized Salt Refinery Plant '!$C$2,0)</f>
        <v>0</v>
      </c>
      <c r="AP86" s="83">
        <f>IF(AP83&gt;0,AP83*'Levellized Salt Refinery Plant '!$C$2,0)</f>
        <v>0</v>
      </c>
      <c r="AQ86" s="83">
        <f>IF(AQ83&gt;0,AQ83*'Levellized Salt Refinery Plant '!$C$2,0)</f>
        <v>0</v>
      </c>
      <c r="AR86" s="83">
        <f>IF(AR83&gt;0,AR83*'Levellized Salt Refinery Plant '!$C$2,0)</f>
        <v>0</v>
      </c>
      <c r="AS86" s="83">
        <f>IF(AS83&gt;0,AS83*'Levellized Salt Refinery Plant '!$C$2,0)</f>
        <v>0</v>
      </c>
      <c r="AT86" s="83">
        <f>IF(AT83&gt;0,AT83*'Levellized Salt Refinery Plant '!$C$2,0)</f>
        <v>0</v>
      </c>
      <c r="AU86" s="83">
        <f>IF(AU83&gt;0,AU83*'Levellized Salt Refinery Plant '!$C$2,0)</f>
        <v>0</v>
      </c>
      <c r="AV86" s="83">
        <f>IF(AV83&gt;0,AV83*'Levellized Salt Refinery Plant '!$C$2,0)</f>
        <v>0</v>
      </c>
      <c r="AW86" s="83">
        <f>IF(AW83&gt;0,AW83*'Levellized Salt Refinery Plant '!$C$2,0)</f>
        <v>0</v>
      </c>
      <c r="AX86" s="83">
        <f>IF(AX83&gt;0,AX83*'Levellized Salt Refinery Plant '!$C$2,0)</f>
        <v>0</v>
      </c>
      <c r="AY86" s="83">
        <f>IF(AY83&gt;0,AY83*'Levellized Salt Refinery Plant '!$C$2,0)</f>
        <v>0</v>
      </c>
      <c r="AZ86" s="83">
        <f>IF(AZ83&gt;0,AZ83*'Levellized Salt Refinery Plant '!$C$2,0)</f>
        <v>0</v>
      </c>
      <c r="BA86" s="83">
        <f>IF(BA83&gt;0,BA83*'Levellized Salt Refinery Plant '!$C$2,0)</f>
        <v>0</v>
      </c>
      <c r="BB86" s="83">
        <f>IF(BB83&gt;0,BB83*'Levellized Salt Refinery Plant '!$C$2,0)</f>
        <v>0</v>
      </c>
      <c r="BC86" s="83">
        <f>IF(BC83&gt;0,BC83*'Levellized Salt Refinery Plant '!$C$2,0)</f>
        <v>0</v>
      </c>
      <c r="BD86" s="83">
        <f>IF(BD83&gt;0,BD83*'Levellized Salt Refinery Plant '!$C$2,0)</f>
        <v>0</v>
      </c>
      <c r="BE86" s="83">
        <f>IF(BE83&gt;0,BE83*'Levellized Salt Refinery Plant '!$C$2,0)</f>
        <v>0</v>
      </c>
      <c r="BF86" s="83">
        <f>IF(BF83&gt;0,BF83*'Levellized Salt Refinery Plant '!$C$2,0)</f>
        <v>0</v>
      </c>
      <c r="BG86" s="83">
        <f>IF(BG83&gt;0,BG83*'Levellized Salt Refinery Plant '!$C$2,0)</f>
        <v>0</v>
      </c>
      <c r="BH86" s="83">
        <f>IF(BH83&gt;0,BH83*'Levellized Salt Refinery Plant '!$C$2,0)</f>
        <v>0</v>
      </c>
      <c r="BI86" s="83"/>
    </row>
    <row r="87" spans="1:61" s="82" customFormat="1" x14ac:dyDescent="0.2">
      <c r="A87" s="82" t="s">
        <v>18</v>
      </c>
      <c r="B87" s="156"/>
      <c r="C87" s="83">
        <f>C84*'Levellized Salt Refinery Plant '!$C$35</f>
        <v>0</v>
      </c>
      <c r="D87" s="83">
        <f>D84*'Levellized Salt Refinery Plant '!$C$35</f>
        <v>0</v>
      </c>
      <c r="E87" s="83">
        <f>E84*'Levellized Salt Refinery Plant '!$C$35</f>
        <v>0</v>
      </c>
      <c r="F87" s="83">
        <f>F84*'Levellized Salt Refinery Plant '!$C$35</f>
        <v>0</v>
      </c>
      <c r="G87" s="83">
        <f>G84*'Levellized Salt Refinery Plant '!$C$35</f>
        <v>0</v>
      </c>
      <c r="H87" s="83">
        <f>H84*'Levellized Salt Refinery Plant '!$C$35</f>
        <v>0</v>
      </c>
      <c r="I87" s="83">
        <f>I84*'Levellized Salt Refinery Plant '!$C$35</f>
        <v>0</v>
      </c>
      <c r="J87" s="83">
        <f>J84*'Levellized Salt Refinery Plant '!$C$35</f>
        <v>0</v>
      </c>
      <c r="K87" s="83">
        <f>K84*'Levellized Salt Refinery Plant '!$C$35</f>
        <v>0</v>
      </c>
      <c r="L87" s="83">
        <f>L84*'Levellized Salt Refinery Plant '!$C$35</f>
        <v>0</v>
      </c>
      <c r="M87" s="83">
        <f>M84*'Levellized Salt Refinery Plant '!$C$35</f>
        <v>0</v>
      </c>
      <c r="N87" s="83">
        <f>N84*'Levellized Salt Refinery Plant '!$C$35</f>
        <v>0</v>
      </c>
      <c r="O87" s="83">
        <f>O84*'Levellized Salt Refinery Plant '!$C$35</f>
        <v>0</v>
      </c>
      <c r="P87" s="83">
        <f>P84*'Levellized Salt Refinery Plant '!$C$35</f>
        <v>0</v>
      </c>
      <c r="Q87" s="83">
        <f>Q84*'Levellized Salt Refinery Plant '!$C$35</f>
        <v>0</v>
      </c>
      <c r="R87" s="83">
        <f>R84*'Levellized Salt Refinery Plant '!$C$35</f>
        <v>0</v>
      </c>
      <c r="S87" s="83">
        <f>S84*'Levellized Salt Refinery Plant '!$C$35</f>
        <v>0</v>
      </c>
      <c r="T87" s="83">
        <f>T84*'Levellized Salt Refinery Plant '!$C$35</f>
        <v>0</v>
      </c>
      <c r="U87" s="83">
        <f>U84*'Levellized Salt Refinery Plant '!$C$35</f>
        <v>0</v>
      </c>
      <c r="V87" s="83">
        <f>V84*'Levellized Salt Refinery Plant '!$C$35</f>
        <v>0</v>
      </c>
      <c r="W87" s="83">
        <f>W84*'Levellized Salt Refinery Plant '!$C$35</f>
        <v>0</v>
      </c>
      <c r="X87" s="83">
        <f>X84*'Levellized Salt Refinery Plant '!$C$35</f>
        <v>0</v>
      </c>
      <c r="Y87" s="83">
        <f>Y84*'Levellized Salt Refinery Plant '!$C$35</f>
        <v>0</v>
      </c>
      <c r="Z87" s="83">
        <f>Z84*'Levellized Salt Refinery Plant '!$C$35</f>
        <v>0</v>
      </c>
      <c r="AA87" s="83">
        <f>AA84*'Levellized Salt Refinery Plant '!$C$35</f>
        <v>0</v>
      </c>
      <c r="AB87" s="83">
        <f>AB84*'Levellized Salt Refinery Plant '!$C$35</f>
        <v>0</v>
      </c>
      <c r="AC87" s="83">
        <f>AC84*'Levellized Salt Refinery Plant '!$C$35</f>
        <v>0</v>
      </c>
      <c r="AD87" s="83">
        <f>AD84*'Levellized Salt Refinery Plant '!$C$35</f>
        <v>0</v>
      </c>
      <c r="AE87" s="83">
        <f>AE84*'Levellized Salt Refinery Plant '!$C$35</f>
        <v>0</v>
      </c>
      <c r="AF87" s="83">
        <f>AF84*'Levellized Salt Refinery Plant '!$C$35</f>
        <v>0</v>
      </c>
      <c r="AG87" s="83">
        <f>AG84*'Levellized Salt Refinery Plant '!$C$35</f>
        <v>0</v>
      </c>
      <c r="AH87" s="83">
        <f>AH84*'Levellized Salt Refinery Plant '!$C$35</f>
        <v>0</v>
      </c>
      <c r="AI87" s="83">
        <f>AI84*'Levellized Salt Refinery Plant '!$C$35</f>
        <v>0</v>
      </c>
      <c r="AJ87" s="83">
        <f>AJ84*'Levellized Salt Refinery Plant '!$C$35</f>
        <v>0</v>
      </c>
      <c r="AK87" s="83">
        <f>AK84*'Levellized Salt Refinery Plant '!$C$35</f>
        <v>0</v>
      </c>
      <c r="AL87" s="83">
        <f>AL84*'Levellized Salt Refinery Plant '!$C$35</f>
        <v>0</v>
      </c>
      <c r="AM87" s="83">
        <f>AM84*'Levellized Salt Refinery Plant '!$C$35</f>
        <v>0</v>
      </c>
      <c r="AN87" s="83">
        <f>AN84*'Levellized Salt Refinery Plant '!$C$35</f>
        <v>0</v>
      </c>
      <c r="AO87" s="83">
        <f>AO84*'Levellized Salt Refinery Plant '!$C$35</f>
        <v>0</v>
      </c>
      <c r="AP87" s="83">
        <f>AP84*'Levellized Salt Refinery Plant '!$C$35</f>
        <v>0</v>
      </c>
      <c r="AQ87" s="83">
        <f>AQ84*'Levellized Salt Refinery Plant '!$C$35</f>
        <v>0</v>
      </c>
      <c r="AR87" s="83">
        <f>AR84*'Levellized Salt Refinery Plant '!$C$35</f>
        <v>0</v>
      </c>
      <c r="AS87" s="83">
        <f>AS84*'Levellized Salt Refinery Plant '!$C$35</f>
        <v>0</v>
      </c>
      <c r="AT87" s="83">
        <f>AT84*'Levellized Salt Refinery Plant '!$C$35</f>
        <v>0</v>
      </c>
      <c r="AU87" s="83">
        <f>AU84*'Levellized Salt Refinery Plant '!$C$35</f>
        <v>0</v>
      </c>
      <c r="AV87" s="83">
        <f>AV84*'Levellized Salt Refinery Plant '!$C$35</f>
        <v>0</v>
      </c>
      <c r="AW87" s="83">
        <f>AW84*'Levellized Salt Refinery Plant '!$C$35</f>
        <v>0</v>
      </c>
      <c r="AX87" s="83">
        <f>AX84*'Levellized Salt Refinery Plant '!$C$35</f>
        <v>0</v>
      </c>
      <c r="AY87" s="83">
        <f>AY84*'Levellized Salt Refinery Plant '!$C$35</f>
        <v>0</v>
      </c>
      <c r="AZ87" s="83">
        <f>AZ84*'Levellized Salt Refinery Plant '!$C$35</f>
        <v>0</v>
      </c>
      <c r="BA87" s="83">
        <f>BA84*'Levellized Salt Refinery Plant '!$C$35</f>
        <v>0</v>
      </c>
      <c r="BB87" s="83">
        <f>BB84*'Levellized Salt Refinery Plant '!$C$35</f>
        <v>0</v>
      </c>
      <c r="BC87" s="83">
        <f>BC84*'Levellized Salt Refinery Plant '!$C$35</f>
        <v>0</v>
      </c>
      <c r="BD87" s="83">
        <f>BD84*'Levellized Salt Refinery Plant '!$C$35</f>
        <v>0</v>
      </c>
      <c r="BE87" s="83">
        <f>BE84*'Levellized Salt Refinery Plant '!$C$35</f>
        <v>0</v>
      </c>
      <c r="BF87" s="83">
        <f>BF84*'Levellized Salt Refinery Plant '!$C$35</f>
        <v>0</v>
      </c>
      <c r="BG87" s="83">
        <f>BG84*'Levellized Salt Refinery Plant '!$C$35</f>
        <v>0</v>
      </c>
      <c r="BH87" s="83">
        <f>BH84*'Levellized Salt Refinery Plant '!$C$35</f>
        <v>0</v>
      </c>
      <c r="BI87" s="83"/>
    </row>
    <row r="88" spans="1:61" s="82" customFormat="1" x14ac:dyDescent="0.2">
      <c r="A88" s="82" t="s">
        <v>731</v>
      </c>
      <c r="B88" s="156"/>
      <c r="C88" s="83">
        <f>C84*'Levellized Salt Refinery Plant '!$C$47</f>
        <v>0</v>
      </c>
      <c r="D88" s="83">
        <f>D84*'Levellized Salt Refinery Plant '!$C$47</f>
        <v>0</v>
      </c>
      <c r="E88" s="83">
        <f>E84*'Levellized Salt Refinery Plant '!$C$47</f>
        <v>0</v>
      </c>
      <c r="F88" s="83">
        <f>F84*'Levellized Salt Refinery Plant '!$C$47</f>
        <v>0</v>
      </c>
      <c r="G88" s="83">
        <f>G84*'Levellized Salt Refinery Plant '!$C$47</f>
        <v>0</v>
      </c>
      <c r="H88" s="83">
        <f>H84*'Levellized Salt Refinery Plant '!$C$47</f>
        <v>0</v>
      </c>
      <c r="I88" s="83">
        <f>I84*'Levellized Salt Refinery Plant '!$C$47</f>
        <v>0</v>
      </c>
      <c r="J88" s="83">
        <f>J84*'Levellized Salt Refinery Plant '!$C$47</f>
        <v>0</v>
      </c>
      <c r="K88" s="83">
        <f>K84*'Levellized Salt Refinery Plant '!$C$47</f>
        <v>0</v>
      </c>
      <c r="L88" s="83">
        <f>L84*'Levellized Salt Refinery Plant '!$C$47</f>
        <v>0</v>
      </c>
      <c r="M88" s="83">
        <f>M84*'Levellized Salt Refinery Plant '!$C$47</f>
        <v>0</v>
      </c>
      <c r="N88" s="83">
        <f>N84*'Levellized Salt Refinery Plant '!$C$47</f>
        <v>0</v>
      </c>
      <c r="O88" s="83">
        <f>O84*'Levellized Salt Refinery Plant '!$C$47</f>
        <v>0</v>
      </c>
      <c r="P88" s="83">
        <f>P84*'Levellized Salt Refinery Plant '!$C$47</f>
        <v>0</v>
      </c>
      <c r="Q88" s="83">
        <f>Q84*'Levellized Salt Refinery Plant '!$C$47</f>
        <v>0</v>
      </c>
      <c r="R88" s="83">
        <f>R84*'Levellized Salt Refinery Plant '!$C$47</f>
        <v>0</v>
      </c>
      <c r="S88" s="83">
        <f>S84*'Levellized Salt Refinery Plant '!$C$47</f>
        <v>0</v>
      </c>
      <c r="T88" s="83">
        <f>T84*'Levellized Salt Refinery Plant '!$C$47</f>
        <v>0</v>
      </c>
      <c r="U88" s="83">
        <f>U84*'Levellized Salt Refinery Plant '!$C$47</f>
        <v>0</v>
      </c>
      <c r="V88" s="83">
        <f>V84*'Levellized Salt Refinery Plant '!$C$47</f>
        <v>0</v>
      </c>
      <c r="W88" s="83">
        <f>W84*'Levellized Salt Refinery Plant '!$C$47</f>
        <v>0</v>
      </c>
      <c r="X88" s="83">
        <f>X84*'Levellized Salt Refinery Plant '!$C$47</f>
        <v>0</v>
      </c>
      <c r="Y88" s="83">
        <f>Y84*'Levellized Salt Refinery Plant '!$C$47</f>
        <v>0</v>
      </c>
      <c r="Z88" s="83">
        <f>Z84*'Levellized Salt Refinery Plant '!$C$47</f>
        <v>0</v>
      </c>
      <c r="AA88" s="83">
        <f>AA84*'Levellized Salt Refinery Plant '!$C$47</f>
        <v>0</v>
      </c>
      <c r="AB88" s="83">
        <f>AB84*'Levellized Salt Refinery Plant '!$C$47</f>
        <v>0</v>
      </c>
      <c r="AC88" s="83">
        <f>AC84*'Levellized Salt Refinery Plant '!$C$47</f>
        <v>0</v>
      </c>
      <c r="AD88" s="83">
        <f>AD84*'Levellized Salt Refinery Plant '!$C$47</f>
        <v>0</v>
      </c>
      <c r="AE88" s="83">
        <f>AE84*'Levellized Salt Refinery Plant '!$C$47</f>
        <v>0</v>
      </c>
      <c r="AF88" s="83">
        <f>AF84*'Levellized Salt Refinery Plant '!$C$47</f>
        <v>0</v>
      </c>
      <c r="AG88" s="83">
        <f>AG84*'Levellized Salt Refinery Plant '!$C$47</f>
        <v>0</v>
      </c>
      <c r="AH88" s="83">
        <f>AH84*'Levellized Salt Refinery Plant '!$C$47</f>
        <v>0</v>
      </c>
      <c r="AI88" s="83">
        <f>AI84*'Levellized Salt Refinery Plant '!$C$47</f>
        <v>0</v>
      </c>
      <c r="AJ88" s="83">
        <f>AJ84*'Levellized Salt Refinery Plant '!$C$47</f>
        <v>0</v>
      </c>
      <c r="AK88" s="83">
        <f>AK84*'Levellized Salt Refinery Plant '!$C$47</f>
        <v>0</v>
      </c>
      <c r="AL88" s="83">
        <f>AL84*'Levellized Salt Refinery Plant '!$C$47</f>
        <v>0</v>
      </c>
      <c r="AM88" s="83">
        <f>AM84*'Levellized Salt Refinery Plant '!$C$47</f>
        <v>0</v>
      </c>
      <c r="AN88" s="83">
        <f>AN84*'Levellized Salt Refinery Plant '!$C$47</f>
        <v>0</v>
      </c>
      <c r="AO88" s="83">
        <f>AO84*'Levellized Salt Refinery Plant '!$C$47</f>
        <v>0</v>
      </c>
      <c r="AP88" s="83">
        <f>AP84*'Levellized Salt Refinery Plant '!$C$47</f>
        <v>0</v>
      </c>
      <c r="AQ88" s="83">
        <f>AQ84*'Levellized Salt Refinery Plant '!$C$47</f>
        <v>0</v>
      </c>
      <c r="AR88" s="83">
        <f>AR84*'Levellized Salt Refinery Plant '!$C$47</f>
        <v>0</v>
      </c>
      <c r="AS88" s="83">
        <f>AS84*'Levellized Salt Refinery Plant '!$C$47</f>
        <v>0</v>
      </c>
      <c r="AT88" s="83">
        <f>AT84*'Levellized Salt Refinery Plant '!$C$47</f>
        <v>0</v>
      </c>
      <c r="AU88" s="83">
        <f>AU84*'Levellized Salt Refinery Plant '!$C$47</f>
        <v>0</v>
      </c>
      <c r="AV88" s="83">
        <f>AV84*'Levellized Salt Refinery Plant '!$C$47</f>
        <v>0</v>
      </c>
      <c r="AW88" s="83">
        <f>AW84*'Levellized Salt Refinery Plant '!$C$47</f>
        <v>0</v>
      </c>
      <c r="AX88" s="83">
        <f>AX84*'Levellized Salt Refinery Plant '!$C$47</f>
        <v>0</v>
      </c>
      <c r="AY88" s="83">
        <f>AY84*'Levellized Salt Refinery Plant '!$C$47</f>
        <v>0</v>
      </c>
      <c r="AZ88" s="83">
        <f>AZ84*'Levellized Salt Refinery Plant '!$C$47</f>
        <v>0</v>
      </c>
      <c r="BA88" s="83">
        <f>BA84*'Levellized Salt Refinery Plant '!$C$47</f>
        <v>0</v>
      </c>
      <c r="BB88" s="83">
        <f>BB84*'Levellized Salt Refinery Plant '!$C$47</f>
        <v>0</v>
      </c>
      <c r="BC88" s="83">
        <f>BC84*'Levellized Salt Refinery Plant '!$C$47</f>
        <v>0</v>
      </c>
      <c r="BD88" s="83">
        <f>BD84*'Levellized Salt Refinery Plant '!$C$47</f>
        <v>0</v>
      </c>
      <c r="BE88" s="83">
        <f>BE84*'Levellized Salt Refinery Plant '!$C$47</f>
        <v>0</v>
      </c>
      <c r="BF88" s="83">
        <f>BF84*'Levellized Salt Refinery Plant '!$C$47</f>
        <v>0</v>
      </c>
      <c r="BG88" s="83">
        <f>BG84*'Levellized Salt Refinery Plant '!$C$47</f>
        <v>0</v>
      </c>
      <c r="BH88" s="83">
        <f>BH84*'Levellized Salt Refinery Plant '!$C$47</f>
        <v>0</v>
      </c>
      <c r="BI88" s="83"/>
    </row>
    <row r="89" spans="1:61" x14ac:dyDescent="0.2">
      <c r="A89" t="s">
        <v>834</v>
      </c>
      <c r="B89" s="112">
        <v>4.3499999999999996</v>
      </c>
      <c r="C89" s="103">
        <v>215</v>
      </c>
      <c r="D89" s="10">
        <f xml:space="preserve"> C89 + $B89</f>
        <v>219.35</v>
      </c>
      <c r="E89" s="10">
        <f t="shared" ref="E89:AO89" si="313" xml:space="preserve"> D89 + $B89</f>
        <v>223.7</v>
      </c>
      <c r="F89" s="10">
        <f t="shared" si="313"/>
        <v>228.04999999999998</v>
      </c>
      <c r="G89" s="10">
        <f t="shared" si="313"/>
        <v>232.39999999999998</v>
      </c>
      <c r="H89" s="10">
        <f t="shared" si="313"/>
        <v>236.74999999999997</v>
      </c>
      <c r="I89" s="10">
        <f t="shared" si="313"/>
        <v>241.09999999999997</v>
      </c>
      <c r="J89" s="10">
        <f t="shared" si="313"/>
        <v>245.44999999999996</v>
      </c>
      <c r="K89" s="10">
        <f t="shared" si="313"/>
        <v>249.79999999999995</v>
      </c>
      <c r="L89" s="10">
        <f t="shared" si="313"/>
        <v>254.14999999999995</v>
      </c>
      <c r="M89" s="10">
        <f t="shared" si="313"/>
        <v>258.49999999999994</v>
      </c>
      <c r="N89" s="10">
        <f t="shared" si="313"/>
        <v>262.84999999999997</v>
      </c>
      <c r="O89" s="10">
        <f t="shared" si="313"/>
        <v>267.2</v>
      </c>
      <c r="P89" s="10">
        <f t="shared" si="313"/>
        <v>271.55</v>
      </c>
      <c r="Q89" s="10">
        <f t="shared" si="313"/>
        <v>275.90000000000003</v>
      </c>
      <c r="R89" s="10">
        <f t="shared" si="313"/>
        <v>280.25000000000006</v>
      </c>
      <c r="S89" s="10">
        <f t="shared" si="313"/>
        <v>284.60000000000008</v>
      </c>
      <c r="T89" s="10">
        <f t="shared" si="313"/>
        <v>288.9500000000001</v>
      </c>
      <c r="U89" s="10">
        <f t="shared" si="313"/>
        <v>293.30000000000013</v>
      </c>
      <c r="V89" s="10">
        <f t="shared" si="313"/>
        <v>297.65000000000015</v>
      </c>
      <c r="W89" s="10">
        <f t="shared" si="313"/>
        <v>302.00000000000017</v>
      </c>
      <c r="X89" s="10">
        <f t="shared" si="313"/>
        <v>306.35000000000019</v>
      </c>
      <c r="Y89" s="10">
        <f t="shared" si="313"/>
        <v>310.70000000000022</v>
      </c>
      <c r="Z89" s="10">
        <f t="shared" si="313"/>
        <v>315.05000000000024</v>
      </c>
      <c r="AA89" s="10">
        <f t="shared" si="313"/>
        <v>319.40000000000026</v>
      </c>
      <c r="AB89" s="10">
        <f t="shared" si="313"/>
        <v>323.75000000000028</v>
      </c>
      <c r="AC89" s="10">
        <f t="shared" si="313"/>
        <v>328.10000000000031</v>
      </c>
      <c r="AD89" s="10">
        <f t="shared" si="313"/>
        <v>332.45000000000033</v>
      </c>
      <c r="AE89" s="10">
        <f t="shared" si="313"/>
        <v>336.80000000000035</v>
      </c>
      <c r="AF89" s="10">
        <f t="shared" si="313"/>
        <v>341.15000000000038</v>
      </c>
      <c r="AG89" s="10">
        <f t="shared" si="313"/>
        <v>345.5000000000004</v>
      </c>
      <c r="AH89" s="10">
        <f t="shared" si="313"/>
        <v>349.85000000000042</v>
      </c>
      <c r="AI89" s="10">
        <f t="shared" si="313"/>
        <v>354.20000000000044</v>
      </c>
      <c r="AJ89" s="10">
        <f t="shared" si="313"/>
        <v>358.55000000000047</v>
      </c>
      <c r="AK89" s="10">
        <f t="shared" si="313"/>
        <v>362.90000000000049</v>
      </c>
      <c r="AL89" s="10">
        <f t="shared" si="313"/>
        <v>367.25000000000051</v>
      </c>
      <c r="AM89" s="10">
        <f t="shared" si="313"/>
        <v>371.60000000000053</v>
      </c>
      <c r="AN89" s="10">
        <f t="shared" si="313"/>
        <v>375.95000000000056</v>
      </c>
      <c r="AO89" s="10">
        <f t="shared" si="313"/>
        <v>380.30000000000058</v>
      </c>
      <c r="AP89" s="10">
        <f t="shared" ref="AP89" si="314" xml:space="preserve"> AO89 + $B89</f>
        <v>384.6500000000006</v>
      </c>
      <c r="AQ89" s="10">
        <f t="shared" ref="AQ89" si="315" xml:space="preserve"> AP89 + $B89</f>
        <v>389.00000000000063</v>
      </c>
      <c r="AR89" s="10">
        <f t="shared" ref="AR89" si="316" xml:space="preserve"> AQ89 + $B89</f>
        <v>393.35000000000065</v>
      </c>
      <c r="AS89" s="10">
        <f t="shared" ref="AS89" si="317" xml:space="preserve"> AR89 + $B89</f>
        <v>397.70000000000067</v>
      </c>
      <c r="AT89" s="10">
        <f t="shared" ref="AT89" si="318" xml:space="preserve"> AS89 + $B89</f>
        <v>402.05000000000069</v>
      </c>
      <c r="AU89" s="10">
        <f t="shared" ref="AU89" si="319" xml:space="preserve"> AT89 + $B89</f>
        <v>406.40000000000072</v>
      </c>
      <c r="AV89" s="10">
        <f t="shared" ref="AV89" si="320" xml:space="preserve"> AU89 + $B89</f>
        <v>410.75000000000074</v>
      </c>
      <c r="AW89" s="10">
        <f t="shared" ref="AW89" si="321" xml:space="preserve"> AV89 + $B89</f>
        <v>415.10000000000076</v>
      </c>
      <c r="AX89" s="10">
        <f t="shared" ref="AX89" si="322" xml:space="preserve"> AW89 + $B89</f>
        <v>419.45000000000078</v>
      </c>
      <c r="AY89" s="10">
        <f t="shared" ref="AY89" si="323" xml:space="preserve"> AX89 + $B89</f>
        <v>423.80000000000081</v>
      </c>
      <c r="AZ89" s="10">
        <f t="shared" ref="AZ89" si="324" xml:space="preserve"> AY89 + $B89</f>
        <v>428.15000000000083</v>
      </c>
      <c r="BA89" s="10">
        <f t="shared" ref="BA89" si="325" xml:space="preserve"> AZ89 + $B89</f>
        <v>432.50000000000085</v>
      </c>
      <c r="BB89" s="10">
        <f t="shared" ref="BB89" si="326" xml:space="preserve"> BA89 + $B89</f>
        <v>436.85000000000088</v>
      </c>
      <c r="BC89" s="10">
        <f t="shared" ref="BC89" si="327" xml:space="preserve"> BB89 + $B89</f>
        <v>441.2000000000009</v>
      </c>
      <c r="BD89" s="10">
        <f t="shared" ref="BD89" si="328" xml:space="preserve"> BC89 + $B89</f>
        <v>445.55000000000092</v>
      </c>
      <c r="BE89" s="10">
        <f t="shared" ref="BE89" si="329" xml:space="preserve"> BD89 + $B89</f>
        <v>449.90000000000094</v>
      </c>
      <c r="BF89" s="10">
        <f t="shared" ref="BF89" si="330" xml:space="preserve"> BE89 + $B89</f>
        <v>454.25000000000097</v>
      </c>
      <c r="BG89" s="10">
        <f t="shared" ref="BG89:BH89" si="331" xml:space="preserve"> BF89 + $B89</f>
        <v>458.60000000000099</v>
      </c>
      <c r="BH89" s="10">
        <f t="shared" si="331"/>
        <v>462.95000000000101</v>
      </c>
      <c r="BI89" s="10"/>
    </row>
    <row r="90" spans="1:61" s="80" customFormat="1" x14ac:dyDescent="0.2">
      <c r="A90" s="80" t="s">
        <v>19</v>
      </c>
      <c r="B90" s="163"/>
      <c r="C90" s="81">
        <f t="shared" ref="C90:I90" si="332">C85*C89</f>
        <v>0</v>
      </c>
      <c r="D90" s="81">
        <f t="shared" si="332"/>
        <v>0</v>
      </c>
      <c r="E90" s="81">
        <f t="shared" si="332"/>
        <v>0</v>
      </c>
      <c r="F90" s="81">
        <f t="shared" si="332"/>
        <v>0</v>
      </c>
      <c r="G90" s="81">
        <f t="shared" si="332"/>
        <v>0</v>
      </c>
      <c r="H90" s="81">
        <f t="shared" si="332"/>
        <v>0</v>
      </c>
      <c r="I90" s="81">
        <f t="shared" si="332"/>
        <v>0</v>
      </c>
      <c r="J90" s="81">
        <f>J85*J89</f>
        <v>0</v>
      </c>
      <c r="K90" s="81">
        <f t="shared" ref="K90:AM90" si="333">K85*K89</f>
        <v>0</v>
      </c>
      <c r="L90" s="81">
        <f t="shared" si="333"/>
        <v>0</v>
      </c>
      <c r="M90" s="81">
        <f t="shared" si="333"/>
        <v>0</v>
      </c>
      <c r="N90" s="81">
        <f t="shared" si="333"/>
        <v>0</v>
      </c>
      <c r="O90" s="81">
        <f t="shared" si="333"/>
        <v>0</v>
      </c>
      <c r="P90" s="81">
        <f t="shared" si="333"/>
        <v>0</v>
      </c>
      <c r="Q90" s="81">
        <f t="shared" si="333"/>
        <v>0</v>
      </c>
      <c r="R90" s="81">
        <f t="shared" si="333"/>
        <v>0</v>
      </c>
      <c r="S90" s="81">
        <f t="shared" si="333"/>
        <v>0</v>
      </c>
      <c r="T90" s="81">
        <f t="shared" si="333"/>
        <v>0</v>
      </c>
      <c r="U90" s="81">
        <f t="shared" si="333"/>
        <v>0</v>
      </c>
      <c r="V90" s="81">
        <f t="shared" si="333"/>
        <v>0</v>
      </c>
      <c r="W90" s="81">
        <f t="shared" si="333"/>
        <v>0</v>
      </c>
      <c r="X90" s="81">
        <f t="shared" si="333"/>
        <v>0</v>
      </c>
      <c r="Y90" s="81">
        <f t="shared" si="333"/>
        <v>0</v>
      </c>
      <c r="Z90" s="81">
        <f t="shared" si="333"/>
        <v>0</v>
      </c>
      <c r="AA90" s="81">
        <f t="shared" si="333"/>
        <v>0</v>
      </c>
      <c r="AB90" s="81">
        <f t="shared" si="333"/>
        <v>0</v>
      </c>
      <c r="AC90" s="81">
        <f t="shared" si="333"/>
        <v>0</v>
      </c>
      <c r="AD90" s="81">
        <f t="shared" si="333"/>
        <v>0</v>
      </c>
      <c r="AE90" s="81">
        <f t="shared" si="333"/>
        <v>0</v>
      </c>
      <c r="AF90" s="81">
        <f t="shared" si="333"/>
        <v>0</v>
      </c>
      <c r="AG90" s="81">
        <f t="shared" si="333"/>
        <v>0</v>
      </c>
      <c r="AH90" s="81">
        <f t="shared" si="333"/>
        <v>0</v>
      </c>
      <c r="AI90" s="81">
        <f t="shared" si="333"/>
        <v>0</v>
      </c>
      <c r="AJ90" s="81">
        <f t="shared" si="333"/>
        <v>0</v>
      </c>
      <c r="AK90" s="81">
        <f t="shared" si="333"/>
        <v>0</v>
      </c>
      <c r="AL90" s="81">
        <f t="shared" si="333"/>
        <v>0</v>
      </c>
      <c r="AM90" s="81">
        <f t="shared" si="333"/>
        <v>0</v>
      </c>
      <c r="AN90" s="81">
        <f t="shared" ref="AN90:AP90" si="334">AN85*AN89</f>
        <v>0</v>
      </c>
      <c r="AO90" s="81">
        <f t="shared" si="334"/>
        <v>0</v>
      </c>
      <c r="AP90" s="81">
        <f t="shared" si="334"/>
        <v>0</v>
      </c>
      <c r="AQ90" s="81">
        <f t="shared" ref="AQ90:AS90" si="335">AQ85*AQ89</f>
        <v>0</v>
      </c>
      <c r="AR90" s="81">
        <f t="shared" si="335"/>
        <v>0</v>
      </c>
      <c r="AS90" s="81">
        <f t="shared" si="335"/>
        <v>0</v>
      </c>
      <c r="AT90" s="81">
        <f t="shared" ref="AT90:AY90" si="336">AT85*AT89</f>
        <v>0</v>
      </c>
      <c r="AU90" s="81">
        <f t="shared" si="336"/>
        <v>0</v>
      </c>
      <c r="AV90" s="81">
        <f t="shared" si="336"/>
        <v>0</v>
      </c>
      <c r="AW90" s="81">
        <f t="shared" si="336"/>
        <v>0</v>
      </c>
      <c r="AX90" s="81">
        <f t="shared" si="336"/>
        <v>0</v>
      </c>
      <c r="AY90" s="81">
        <f t="shared" si="336"/>
        <v>0</v>
      </c>
      <c r="AZ90" s="81">
        <f t="shared" ref="AZ90:BE90" si="337">AZ85*AZ89</f>
        <v>0</v>
      </c>
      <c r="BA90" s="81">
        <f t="shared" si="337"/>
        <v>0</v>
      </c>
      <c r="BB90" s="81">
        <f t="shared" si="337"/>
        <v>0</v>
      </c>
      <c r="BC90" s="81">
        <f t="shared" si="337"/>
        <v>0</v>
      </c>
      <c r="BD90" s="81">
        <f t="shared" si="337"/>
        <v>0</v>
      </c>
      <c r="BE90" s="81">
        <f t="shared" si="337"/>
        <v>0</v>
      </c>
      <c r="BF90" s="81">
        <f t="shared" ref="BF90:BG90" si="338">BF85*BF89</f>
        <v>0</v>
      </c>
      <c r="BG90" s="81">
        <f t="shared" si="338"/>
        <v>0</v>
      </c>
      <c r="BH90" s="81">
        <f t="shared" ref="BH90" si="339">BH85*BH89</f>
        <v>0</v>
      </c>
      <c r="BI90" s="81"/>
    </row>
    <row r="91" spans="1:61" x14ac:dyDescent="0.2">
      <c r="A91" s="104" t="s">
        <v>836</v>
      </c>
      <c r="B91" s="31"/>
      <c r="C91" s="5">
        <f xml:space="preserve"> 1000000 * (0.2642 * C1 - 478.77)</f>
        <v>56235000.000000015</v>
      </c>
      <c r="D91" s="5">
        <f t="shared" ref="D91:BH91" si="340" xml:space="preserve"> 1000000 * (0.2642 * D1 - 478.77)</f>
        <v>56499199.99999997</v>
      </c>
      <c r="E91" s="5">
        <f t="shared" si="340"/>
        <v>56763400.000000045</v>
      </c>
      <c r="F91" s="5">
        <f t="shared" si="340"/>
        <v>57027600.000000007</v>
      </c>
      <c r="G91" s="5">
        <f t="shared" si="340"/>
        <v>57291799.99999997</v>
      </c>
      <c r="H91" s="5">
        <f t="shared" si="340"/>
        <v>57556000.000000037</v>
      </c>
      <c r="I91" s="5">
        <f t="shared" si="340"/>
        <v>57820200</v>
      </c>
      <c r="J91" s="5">
        <f t="shared" si="340"/>
        <v>58084399.999999963</v>
      </c>
      <c r="K91" s="5">
        <f t="shared" si="340"/>
        <v>58348600.00000003</v>
      </c>
      <c r="L91" s="5">
        <f t="shared" si="340"/>
        <v>58612799.999999993</v>
      </c>
      <c r="M91" s="5">
        <f t="shared" si="340"/>
        <v>58876999.999999955</v>
      </c>
      <c r="N91" s="5">
        <f t="shared" si="340"/>
        <v>59141200.00000003</v>
      </c>
      <c r="O91" s="5">
        <f t="shared" si="340"/>
        <v>59405399.999999985</v>
      </c>
      <c r="P91" s="5">
        <f t="shared" si="340"/>
        <v>59669599.999999948</v>
      </c>
      <c r="Q91" s="5">
        <f t="shared" si="340"/>
        <v>59933800.000000022</v>
      </c>
      <c r="R91" s="5">
        <f t="shared" si="340"/>
        <v>60197999.999999978</v>
      </c>
      <c r="S91" s="5">
        <f t="shared" si="340"/>
        <v>60462200.000000052</v>
      </c>
      <c r="T91" s="5">
        <f t="shared" si="340"/>
        <v>60726400.000000015</v>
      </c>
      <c r="U91" s="5">
        <f t="shared" si="340"/>
        <v>60990599.99999997</v>
      </c>
      <c r="V91" s="5">
        <f t="shared" si="340"/>
        <v>61254800.000000045</v>
      </c>
      <c r="W91" s="5">
        <f t="shared" si="340"/>
        <v>61519000.000000007</v>
      </c>
      <c r="X91" s="5">
        <f t="shared" si="340"/>
        <v>61783199.999999963</v>
      </c>
      <c r="Y91" s="5">
        <f t="shared" si="340"/>
        <v>62047400.000000037</v>
      </c>
      <c r="Z91" s="5">
        <f t="shared" si="340"/>
        <v>62311600</v>
      </c>
      <c r="AA91" s="5">
        <f t="shared" si="340"/>
        <v>62575799.999999955</v>
      </c>
      <c r="AB91" s="5">
        <f t="shared" si="340"/>
        <v>62840000.00000003</v>
      </c>
      <c r="AC91" s="5">
        <f t="shared" si="340"/>
        <v>63104199.999999993</v>
      </c>
      <c r="AD91" s="5">
        <f t="shared" si="340"/>
        <v>63368399.999999948</v>
      </c>
      <c r="AE91" s="5">
        <f t="shared" si="340"/>
        <v>63632600.000000022</v>
      </c>
      <c r="AF91" s="5">
        <f t="shared" si="340"/>
        <v>63896799.999999985</v>
      </c>
      <c r="AG91" s="5">
        <f t="shared" si="340"/>
        <v>64160999.999999948</v>
      </c>
      <c r="AH91" s="5">
        <f t="shared" si="340"/>
        <v>64425200.000000015</v>
      </c>
      <c r="AI91" s="5">
        <f t="shared" si="340"/>
        <v>64689399.999999978</v>
      </c>
      <c r="AJ91" s="5">
        <f t="shared" si="340"/>
        <v>64953600.000000052</v>
      </c>
      <c r="AK91" s="5">
        <f t="shared" si="340"/>
        <v>65217800.000000007</v>
      </c>
      <c r="AL91" s="5">
        <f t="shared" si="340"/>
        <v>65481999.99999997</v>
      </c>
      <c r="AM91" s="5">
        <f t="shared" si="340"/>
        <v>65746200.000000045</v>
      </c>
      <c r="AN91" s="5">
        <f t="shared" si="340"/>
        <v>66010400.000000007</v>
      </c>
      <c r="AO91" s="5">
        <f t="shared" si="340"/>
        <v>66274599.999999963</v>
      </c>
      <c r="AP91" s="5">
        <f t="shared" si="340"/>
        <v>66538800.000000037</v>
      </c>
      <c r="AQ91" s="5">
        <f t="shared" si="340"/>
        <v>66803000</v>
      </c>
      <c r="AR91" s="5">
        <f t="shared" si="340"/>
        <v>67067199.999999955</v>
      </c>
      <c r="AS91" s="5">
        <f t="shared" si="340"/>
        <v>67331400.00000003</v>
      </c>
      <c r="AT91" s="5">
        <f t="shared" si="340"/>
        <v>67595599.999999985</v>
      </c>
      <c r="AU91" s="5">
        <f t="shared" si="340"/>
        <v>67859799.999999955</v>
      </c>
      <c r="AV91" s="5">
        <f t="shared" si="340"/>
        <v>68124000.00000003</v>
      </c>
      <c r="AW91" s="5">
        <f t="shared" si="340"/>
        <v>68388199.999999985</v>
      </c>
      <c r="AX91" s="5">
        <f t="shared" si="340"/>
        <v>68652399.99999994</v>
      </c>
      <c r="AY91" s="5">
        <f t="shared" si="340"/>
        <v>68916600.000000015</v>
      </c>
      <c r="AZ91" s="5">
        <f t="shared" si="340"/>
        <v>69180799.99999997</v>
      </c>
      <c r="BA91" s="5">
        <f t="shared" si="340"/>
        <v>69445000.000000045</v>
      </c>
      <c r="BB91" s="5">
        <f t="shared" si="340"/>
        <v>69709200.000000015</v>
      </c>
      <c r="BC91" s="5">
        <f t="shared" si="340"/>
        <v>69973399.99999997</v>
      </c>
      <c r="BD91" s="5">
        <f t="shared" si="340"/>
        <v>70237600.000000045</v>
      </c>
      <c r="BE91" s="5">
        <f t="shared" si="340"/>
        <v>70501800</v>
      </c>
      <c r="BF91" s="5">
        <f t="shared" si="340"/>
        <v>70765999.999999955</v>
      </c>
      <c r="BG91" s="5">
        <f t="shared" si="340"/>
        <v>71030200.00000003</v>
      </c>
      <c r="BH91" s="5">
        <f t="shared" si="340"/>
        <v>71294400</v>
      </c>
    </row>
    <row r="92" spans="1:61" x14ac:dyDescent="0.2">
      <c r="A92" t="s">
        <v>624</v>
      </c>
      <c r="B92" s="31"/>
      <c r="C92" s="5">
        <f t="shared" ref="C92:AM92" si="341" xml:space="preserve"> SUM(C23,C75)</f>
        <v>0</v>
      </c>
      <c r="D92" s="5">
        <f t="shared" si="341"/>
        <v>0</v>
      </c>
      <c r="E92" s="5">
        <f t="shared" si="341"/>
        <v>0</v>
      </c>
      <c r="F92" s="5">
        <f t="shared" si="341"/>
        <v>0</v>
      </c>
      <c r="G92" s="5">
        <f t="shared" si="341"/>
        <v>325328.53760363266</v>
      </c>
      <c r="H92" s="5">
        <f t="shared" si="341"/>
        <v>563969.57520726533</v>
      </c>
      <c r="I92" s="5">
        <f t="shared" si="341"/>
        <v>822773.84686829115</v>
      </c>
      <c r="J92" s="5">
        <f t="shared" si="341"/>
        <v>1081578.1185293167</v>
      </c>
      <c r="K92" s="5">
        <f t="shared" si="341"/>
        <v>1340382.3901903429</v>
      </c>
      <c r="L92" s="5">
        <f t="shared" si="341"/>
        <v>1706037.3959087618</v>
      </c>
      <c r="M92" s="5">
        <f t="shared" si="341"/>
        <v>2091855.6356845736</v>
      </c>
      <c r="N92" s="5">
        <f t="shared" si="341"/>
        <v>3151010.6414029924</v>
      </c>
      <c r="O92" s="5">
        <f t="shared" si="341"/>
        <v>4230328.8811788037</v>
      </c>
      <c r="P92" s="5">
        <f t="shared" si="341"/>
        <v>4310981.8174083764</v>
      </c>
      <c r="Q92" s="5">
        <f t="shared" si="341"/>
        <v>4391634.753637949</v>
      </c>
      <c r="R92" s="5">
        <f t="shared" si="341"/>
        <v>4452124.4558101278</v>
      </c>
      <c r="S92" s="5">
        <f t="shared" si="341"/>
        <v>4532777.3920397004</v>
      </c>
      <c r="T92" s="5">
        <f t="shared" si="341"/>
        <v>4593267.0942118801</v>
      </c>
      <c r="U92" s="5">
        <f t="shared" si="341"/>
        <v>4673920.0304414518</v>
      </c>
      <c r="V92" s="5">
        <f t="shared" si="341"/>
        <v>4754572.9666710244</v>
      </c>
      <c r="W92" s="5">
        <f t="shared" si="341"/>
        <v>4835225.9029005971</v>
      </c>
      <c r="X92" s="5">
        <f t="shared" si="341"/>
        <v>4895715.6050727759</v>
      </c>
      <c r="Y92" s="5">
        <f t="shared" si="341"/>
        <v>4976368.5413023485</v>
      </c>
      <c r="Z92" s="5">
        <f t="shared" si="341"/>
        <v>5057021.4775319211</v>
      </c>
      <c r="AA92" s="5">
        <f t="shared" si="341"/>
        <v>5137674.4137614928</v>
      </c>
      <c r="AB92" s="5">
        <f t="shared" si="341"/>
        <v>5218327.3499910655</v>
      </c>
      <c r="AC92" s="5">
        <f t="shared" si="341"/>
        <v>5278817.0521632452</v>
      </c>
      <c r="AD92" s="5">
        <f t="shared" si="341"/>
        <v>5359469.9883928169</v>
      </c>
      <c r="AE92" s="5">
        <f t="shared" si="341"/>
        <v>5440122.9246223895</v>
      </c>
      <c r="AF92" s="5">
        <f t="shared" si="341"/>
        <v>5520775.8608519621</v>
      </c>
      <c r="AG92" s="5">
        <f t="shared" si="341"/>
        <v>5601428.7970815338</v>
      </c>
      <c r="AH92" s="5">
        <f t="shared" si="341"/>
        <v>5682081.7333111065</v>
      </c>
      <c r="AI92" s="5">
        <f t="shared" si="341"/>
        <v>5762734.6695406791</v>
      </c>
      <c r="AJ92" s="5">
        <f t="shared" si="341"/>
        <v>5863550.8398276437</v>
      </c>
      <c r="AK92" s="5">
        <f t="shared" si="341"/>
        <v>5944203.7760572163</v>
      </c>
      <c r="AL92" s="5">
        <f t="shared" si="341"/>
        <v>6024856.712286789</v>
      </c>
      <c r="AM92" s="5">
        <f t="shared" si="341"/>
        <v>6105509.6485163607</v>
      </c>
      <c r="AN92" s="5">
        <f t="shared" ref="AN92:AP92" si="342" xml:space="preserve"> SUM(AN23,AN75)</f>
        <v>6186162.5847459342</v>
      </c>
      <c r="AO92" s="5">
        <f t="shared" si="342"/>
        <v>6286978.7550328989</v>
      </c>
      <c r="AP92" s="5">
        <f t="shared" si="342"/>
        <v>6367631.6912624715</v>
      </c>
      <c r="AQ92" s="5">
        <f t="shared" ref="AQ92:AS92" si="343" xml:space="preserve"> SUM(AQ23,AQ75)</f>
        <v>6448284.6274920441</v>
      </c>
      <c r="AR92" s="5">
        <f t="shared" si="343"/>
        <v>6549100.7977790087</v>
      </c>
      <c r="AS92" s="5">
        <f t="shared" si="343"/>
        <v>6629753.7340085814</v>
      </c>
      <c r="AT92" s="5">
        <f t="shared" ref="AT92:AY92" si="344" xml:space="preserve"> SUM(AT23,AT75)</f>
        <v>6710406.670238154</v>
      </c>
      <c r="AU92" s="5">
        <f t="shared" si="344"/>
        <v>6811222.8405251196</v>
      </c>
      <c r="AV92" s="5">
        <f t="shared" si="344"/>
        <v>6891875.7767546922</v>
      </c>
      <c r="AW92" s="5">
        <f t="shared" si="344"/>
        <v>6992691.9470416568</v>
      </c>
      <c r="AX92" s="5">
        <f t="shared" si="344"/>
        <v>7093508.1173286224</v>
      </c>
      <c r="AY92" s="5">
        <f t="shared" si="344"/>
        <v>7174161.053558195</v>
      </c>
      <c r="AZ92" s="5">
        <f t="shared" ref="AZ92:BE92" si="345" xml:space="preserve"> SUM(AZ23,AZ75)</f>
        <v>7274977.2238451606</v>
      </c>
      <c r="BA92" s="5">
        <f t="shared" si="345"/>
        <v>7355630.1600747332</v>
      </c>
      <c r="BB92" s="5">
        <f t="shared" si="345"/>
        <v>7456446.3303616978</v>
      </c>
      <c r="BC92" s="5">
        <f t="shared" si="345"/>
        <v>7557262.5006486643</v>
      </c>
      <c r="BD92" s="5">
        <f t="shared" si="345"/>
        <v>7658078.6709356289</v>
      </c>
      <c r="BE92" s="5">
        <f t="shared" si="345"/>
        <v>7738731.6071652016</v>
      </c>
      <c r="BF92" s="5">
        <f t="shared" ref="BF92:BG92" si="346" xml:space="preserve"> SUM(BF23,BF75)</f>
        <v>7839547.7774521671</v>
      </c>
      <c r="BG92" s="5">
        <f t="shared" si="346"/>
        <v>7940363.9477391317</v>
      </c>
      <c r="BH92" s="5">
        <f t="shared" ref="BH92" si="347" xml:space="preserve"> SUM(BH23,BH75)</f>
        <v>8041180.1180260982</v>
      </c>
      <c r="BI92" s="5"/>
    </row>
    <row r="93" spans="1:61" x14ac:dyDescent="0.2">
      <c r="A93" t="s">
        <v>837</v>
      </c>
      <c r="B93" s="31"/>
      <c r="C93" s="31">
        <f xml:space="preserve"> C92/(0.08 * C91)</f>
        <v>0</v>
      </c>
      <c r="D93" s="31">
        <f t="shared" ref="D93:BH93" si="348" xml:space="preserve"> D92/(0.08 * D91)</f>
        <v>0</v>
      </c>
      <c r="E93" s="31">
        <f t="shared" si="348"/>
        <v>0</v>
      </c>
      <c r="F93" s="31">
        <f t="shared" si="348"/>
        <v>0</v>
      </c>
      <c r="G93" s="31">
        <f t="shared" si="348"/>
        <v>7.0980606649562586E-2</v>
      </c>
      <c r="H93" s="31">
        <f t="shared" si="348"/>
        <v>0.12248279397614172</v>
      </c>
      <c r="I93" s="31">
        <f t="shared" si="348"/>
        <v>0.17787335716330346</v>
      </c>
      <c r="J93" s="31">
        <f t="shared" si="348"/>
        <v>0.23276002647210728</v>
      </c>
      <c r="K93" s="31">
        <f t="shared" si="348"/>
        <v>0.28714964673324256</v>
      </c>
      <c r="L93" s="31">
        <f t="shared" si="348"/>
        <v>0.36383635398512826</v>
      </c>
      <c r="M93" s="31">
        <f t="shared" si="348"/>
        <v>0.44411562148304412</v>
      </c>
      <c r="N93" s="31">
        <f t="shared" si="348"/>
        <v>0.66599313198814669</v>
      </c>
      <c r="O93" s="31">
        <f t="shared" si="348"/>
        <v>0.89013980235357493</v>
      </c>
      <c r="P93" s="31">
        <f t="shared" si="348"/>
        <v>0.90309425096874696</v>
      </c>
      <c r="Q93" s="31">
        <f t="shared" si="348"/>
        <v>0.91593448805973154</v>
      </c>
      <c r="R93" s="31">
        <f t="shared" si="348"/>
        <v>0.92447516026490284</v>
      </c>
      <c r="S93" s="31">
        <f t="shared" si="348"/>
        <v>0.9371097545325211</v>
      </c>
      <c r="T93" s="31">
        <f t="shared" si="348"/>
        <v>0.94548398518022625</v>
      </c>
      <c r="U93" s="31">
        <f t="shared" si="348"/>
        <v>0.95791811165192953</v>
      </c>
      <c r="V93" s="31">
        <f t="shared" si="348"/>
        <v>0.97024497808151788</v>
      </c>
      <c r="W93" s="31">
        <f t="shared" si="348"/>
        <v>0.98246596638855399</v>
      </c>
      <c r="X93" s="31">
        <f t="shared" si="348"/>
        <v>0.99050300184208218</v>
      </c>
      <c r="Y93" s="31">
        <f t="shared" si="348"/>
        <v>1.0025336559836402</v>
      </c>
      <c r="Z93" s="31">
        <f t="shared" si="348"/>
        <v>1.0144622906352752</v>
      </c>
      <c r="AA93" s="31">
        <f t="shared" si="348"/>
        <v>1.0262901980001646</v>
      </c>
      <c r="AB93" s="31">
        <f t="shared" si="348"/>
        <v>1.0380186485501</v>
      </c>
      <c r="AC93" s="31">
        <f t="shared" si="348"/>
        <v>1.0456548558105574</v>
      </c>
      <c r="AD93" s="31">
        <f t="shared" si="348"/>
        <v>1.0572047716986741</v>
      </c>
      <c r="AE93" s="31">
        <f t="shared" si="348"/>
        <v>1.06865877801284</v>
      </c>
      <c r="AF93" s="31">
        <f t="shared" si="348"/>
        <v>1.0800180644515771</v>
      </c>
      <c r="AG93" s="31">
        <f t="shared" si="348"/>
        <v>1.091283801117801</v>
      </c>
      <c r="AH93" s="31">
        <f t="shared" si="348"/>
        <v>1.1024571389206215</v>
      </c>
      <c r="AI93" s="31">
        <f t="shared" si="348"/>
        <v>1.1135392099672978</v>
      </c>
      <c r="AJ93" s="31">
        <f t="shared" si="348"/>
        <v>1.1284114429045577</v>
      </c>
      <c r="AK93" s="31">
        <f t="shared" si="348"/>
        <v>1.1392985841398391</v>
      </c>
      <c r="AL93" s="31">
        <f t="shared" si="348"/>
        <v>1.1500978727525868</v>
      </c>
      <c r="AM93" s="31">
        <f t="shared" si="348"/>
        <v>1.1608103678456618</v>
      </c>
      <c r="AN93" s="31">
        <f t="shared" si="348"/>
        <v>1.1714371115661193</v>
      </c>
      <c r="AO93" s="31">
        <f t="shared" si="348"/>
        <v>1.1857821011052692</v>
      </c>
      <c r="AP93" s="31">
        <f t="shared" si="348"/>
        <v>1.1962253022414118</v>
      </c>
      <c r="AQ93" s="31">
        <f t="shared" si="348"/>
        <v>1.2065858994903007</v>
      </c>
      <c r="AR93" s="31">
        <f t="shared" si="348"/>
        <v>1.2206228972170847</v>
      </c>
      <c r="AS93" s="31">
        <f t="shared" si="348"/>
        <v>1.2308064539740333</v>
      </c>
      <c r="AT93" s="31">
        <f t="shared" si="348"/>
        <v>1.2409104050851969</v>
      </c>
      <c r="AU93" s="31">
        <f t="shared" si="348"/>
        <v>1.2546498148618779</v>
      </c>
      <c r="AV93" s="31">
        <f t="shared" si="348"/>
        <v>1.2645829253924257</v>
      </c>
      <c r="AW93" s="31">
        <f t="shared" si="348"/>
        <v>1.2781247252891688</v>
      </c>
      <c r="AX93" s="31">
        <f t="shared" si="348"/>
        <v>1.2915622974085079</v>
      </c>
      <c r="AY93" s="31">
        <f t="shared" si="348"/>
        <v>1.3012396602484368</v>
      </c>
      <c r="AZ93" s="31">
        <f t="shared" si="348"/>
        <v>1.3144863213212992</v>
      </c>
      <c r="BA93" s="31">
        <f t="shared" si="348"/>
        <v>1.3240028367907568</v>
      </c>
      <c r="BB93" s="31">
        <f t="shared" si="348"/>
        <v>1.3370628142271208</v>
      </c>
      <c r="BC93" s="31">
        <f t="shared" si="348"/>
        <v>1.3500241700147246</v>
      </c>
      <c r="BD93" s="31">
        <f t="shared" si="348"/>
        <v>1.3628880170549007</v>
      </c>
      <c r="BE93" s="31">
        <f t="shared" si="348"/>
        <v>1.372080501342732</v>
      </c>
      <c r="BF93" s="31">
        <f t="shared" si="348"/>
        <v>1.3847659500063894</v>
      </c>
      <c r="BG93" s="31">
        <f t="shared" si="348"/>
        <v>1.3973570304847671</v>
      </c>
      <c r="BH93" s="31">
        <f t="shared" si="348"/>
        <v>1.4098547918956641</v>
      </c>
      <c r="BI93" s="31"/>
    </row>
    <row r="94" spans="1:61" x14ac:dyDescent="0.2">
      <c r="A94" t="s">
        <v>626</v>
      </c>
      <c r="B94" s="31"/>
      <c r="C94" s="5">
        <f t="shared" ref="C94:AM94" si="349" xml:space="preserve"> SUM(C33,C85)</f>
        <v>0</v>
      </c>
      <c r="D94" s="5">
        <f t="shared" si="349"/>
        <v>0</v>
      </c>
      <c r="E94" s="5">
        <f t="shared" si="349"/>
        <v>0</v>
      </c>
      <c r="F94" s="5">
        <f t="shared" si="349"/>
        <v>0</v>
      </c>
      <c r="G94" s="5">
        <f t="shared" si="349"/>
        <v>693500</v>
      </c>
      <c r="H94" s="5">
        <f t="shared" si="349"/>
        <v>1473687.5</v>
      </c>
      <c r="I94" s="5">
        <f t="shared" si="349"/>
        <v>2253875</v>
      </c>
      <c r="J94" s="5">
        <f t="shared" si="349"/>
        <v>3034062.5</v>
      </c>
      <c r="K94" s="5">
        <f t="shared" si="349"/>
        <v>3814250</v>
      </c>
      <c r="L94" s="5">
        <f t="shared" si="349"/>
        <v>4507750</v>
      </c>
      <c r="M94" s="5">
        <f t="shared" si="349"/>
        <v>5201250</v>
      </c>
      <c r="N94" s="5">
        <f t="shared" si="349"/>
        <v>5201250</v>
      </c>
      <c r="O94" s="5">
        <f t="shared" si="349"/>
        <v>5201250</v>
      </c>
      <c r="P94" s="5">
        <f t="shared" si="349"/>
        <v>5201250</v>
      </c>
      <c r="Q94" s="5">
        <f t="shared" si="349"/>
        <v>5201250</v>
      </c>
      <c r="R94" s="5">
        <f t="shared" si="349"/>
        <v>5201250</v>
      </c>
      <c r="S94" s="5">
        <f t="shared" si="349"/>
        <v>5201250</v>
      </c>
      <c r="T94" s="5">
        <f t="shared" si="349"/>
        <v>5201250</v>
      </c>
      <c r="U94" s="5">
        <f t="shared" si="349"/>
        <v>5201250</v>
      </c>
      <c r="V94" s="5">
        <f t="shared" si="349"/>
        <v>5201250</v>
      </c>
      <c r="W94" s="5">
        <f t="shared" si="349"/>
        <v>5201250</v>
      </c>
      <c r="X94" s="5">
        <f t="shared" si="349"/>
        <v>5201250</v>
      </c>
      <c r="Y94" s="5">
        <f t="shared" si="349"/>
        <v>5201250</v>
      </c>
      <c r="Z94" s="5">
        <f t="shared" si="349"/>
        <v>5201250</v>
      </c>
      <c r="AA94" s="5">
        <f t="shared" si="349"/>
        <v>5201250</v>
      </c>
      <c r="AB94" s="5">
        <f t="shared" si="349"/>
        <v>5201250</v>
      </c>
      <c r="AC94" s="5">
        <f t="shared" si="349"/>
        <v>5201250</v>
      </c>
      <c r="AD94" s="5">
        <f t="shared" si="349"/>
        <v>5201250</v>
      </c>
      <c r="AE94" s="5">
        <f t="shared" si="349"/>
        <v>5201250</v>
      </c>
      <c r="AF94" s="5">
        <f t="shared" si="349"/>
        <v>5201250</v>
      </c>
      <c r="AG94" s="5">
        <f t="shared" si="349"/>
        <v>5201250</v>
      </c>
      <c r="AH94" s="5">
        <f t="shared" si="349"/>
        <v>5201250</v>
      </c>
      <c r="AI94" s="5">
        <f t="shared" si="349"/>
        <v>5201250</v>
      </c>
      <c r="AJ94" s="5">
        <f t="shared" si="349"/>
        <v>5201250</v>
      </c>
      <c r="AK94" s="5">
        <f t="shared" si="349"/>
        <v>5201250</v>
      </c>
      <c r="AL94" s="5">
        <f t="shared" si="349"/>
        <v>5201250</v>
      </c>
      <c r="AM94" s="5">
        <f t="shared" si="349"/>
        <v>5201250</v>
      </c>
      <c r="AN94" s="5">
        <f t="shared" ref="AN94:AP94" si="350" xml:space="preserve"> SUM(AN33,AN85)</f>
        <v>5201250</v>
      </c>
      <c r="AO94" s="5">
        <f t="shared" si="350"/>
        <v>5201250</v>
      </c>
      <c r="AP94" s="5">
        <f t="shared" si="350"/>
        <v>5201250</v>
      </c>
      <c r="AQ94" s="5">
        <f t="shared" ref="AQ94:AS94" si="351" xml:space="preserve"> SUM(AQ33,AQ85)</f>
        <v>5201250</v>
      </c>
      <c r="AR94" s="5">
        <f t="shared" si="351"/>
        <v>5201250</v>
      </c>
      <c r="AS94" s="5">
        <f t="shared" si="351"/>
        <v>5201250</v>
      </c>
      <c r="AT94" s="5">
        <f t="shared" ref="AT94:AY94" si="352" xml:space="preserve"> SUM(AT33,AT85)</f>
        <v>5201250</v>
      </c>
      <c r="AU94" s="5">
        <f t="shared" si="352"/>
        <v>5201250</v>
      </c>
      <c r="AV94" s="5">
        <f t="shared" si="352"/>
        <v>5201250</v>
      </c>
      <c r="AW94" s="5">
        <f t="shared" si="352"/>
        <v>5201250</v>
      </c>
      <c r="AX94" s="5">
        <f t="shared" si="352"/>
        <v>5201250</v>
      </c>
      <c r="AY94" s="5">
        <f t="shared" si="352"/>
        <v>5201250</v>
      </c>
      <c r="AZ94" s="5">
        <f t="shared" ref="AZ94:BE94" si="353" xml:space="preserve"> SUM(AZ33,AZ85)</f>
        <v>5201250</v>
      </c>
      <c r="BA94" s="5">
        <f t="shared" si="353"/>
        <v>5201250</v>
      </c>
      <c r="BB94" s="5">
        <f t="shared" si="353"/>
        <v>5201250</v>
      </c>
      <c r="BC94" s="5">
        <f t="shared" si="353"/>
        <v>5201250</v>
      </c>
      <c r="BD94" s="5">
        <f t="shared" si="353"/>
        <v>5201250</v>
      </c>
      <c r="BE94" s="5">
        <f t="shared" si="353"/>
        <v>5201250</v>
      </c>
      <c r="BF94" s="5">
        <f t="shared" ref="BF94:BG94" si="354" xml:space="preserve"> SUM(BF33,BF85)</f>
        <v>5201250</v>
      </c>
      <c r="BG94" s="5">
        <f t="shared" si="354"/>
        <v>5201250</v>
      </c>
      <c r="BH94" s="5">
        <f t="shared" ref="BH94" si="355" xml:space="preserve"> SUM(BH33,BH85)</f>
        <v>5201250</v>
      </c>
      <c r="BI94" s="5"/>
    </row>
    <row r="95" spans="1:61" x14ac:dyDescent="0.2">
      <c r="A95" t="s">
        <v>838</v>
      </c>
      <c r="B95" s="31"/>
      <c r="C95" s="31">
        <f xml:space="preserve"> C94/(0.1 * C91)</f>
        <v>0</v>
      </c>
      <c r="D95" s="31">
        <f t="shared" ref="D95:BH95" si="356" xml:space="preserve"> D94/(0.1 * D91)</f>
        <v>0</v>
      </c>
      <c r="E95" s="31">
        <f t="shared" si="356"/>
        <v>0</v>
      </c>
      <c r="F95" s="31">
        <f t="shared" si="356"/>
        <v>0</v>
      </c>
      <c r="G95" s="31">
        <f t="shared" si="356"/>
        <v>0.12104699101791187</v>
      </c>
      <c r="H95" s="31">
        <f t="shared" si="356"/>
        <v>0.2560441135589685</v>
      </c>
      <c r="I95" s="31">
        <f t="shared" si="356"/>
        <v>0.38980754130909268</v>
      </c>
      <c r="J95" s="31">
        <f t="shared" si="356"/>
        <v>0.52235410884850353</v>
      </c>
      <c r="K95" s="31">
        <f t="shared" si="356"/>
        <v>0.65370034585234227</v>
      </c>
      <c r="L95" s="31">
        <f t="shared" si="356"/>
        <v>0.7690726257745748</v>
      </c>
      <c r="M95" s="31">
        <f t="shared" si="356"/>
        <v>0.88340948078196979</v>
      </c>
      <c r="N95" s="31">
        <f t="shared" si="356"/>
        <v>0.8794630477568931</v>
      </c>
      <c r="O95" s="31">
        <f t="shared" si="356"/>
        <v>0.87555171752062955</v>
      </c>
      <c r="P95" s="31">
        <f t="shared" si="356"/>
        <v>0.87167502379771344</v>
      </c>
      <c r="Q95" s="31">
        <f t="shared" si="356"/>
        <v>0.86783250853441585</v>
      </c>
      <c r="R95" s="31">
        <f t="shared" si="356"/>
        <v>0.86402372171832975</v>
      </c>
      <c r="S95" s="31">
        <f t="shared" si="356"/>
        <v>0.86024822120266797</v>
      </c>
      <c r="T95" s="31">
        <f t="shared" si="356"/>
        <v>0.8565055725351739</v>
      </c>
      <c r="U95" s="31">
        <f t="shared" si="356"/>
        <v>0.85279534879145347</v>
      </c>
      <c r="V95" s="31">
        <f t="shared" si="356"/>
        <v>0.84911713041263637</v>
      </c>
      <c r="W95" s="31">
        <f t="shared" si="356"/>
        <v>0.8454705050472211</v>
      </c>
      <c r="X95" s="31">
        <f t="shared" si="356"/>
        <v>0.84185506739696281</v>
      </c>
      <c r="Y95" s="31">
        <f t="shared" si="356"/>
        <v>0.83827041906671296</v>
      </c>
      <c r="Z95" s="31">
        <f t="shared" si="356"/>
        <v>0.8347161684180795</v>
      </c>
      <c r="AA95" s="31">
        <f t="shared" si="356"/>
        <v>0.83119193042677886</v>
      </c>
      <c r="AB95" s="31">
        <f t="shared" si="356"/>
        <v>0.82769732654360229</v>
      </c>
      <c r="AC95" s="31">
        <f t="shared" si="356"/>
        <v>0.82423198455887248</v>
      </c>
      <c r="AD95" s="31">
        <f t="shared" si="356"/>
        <v>0.8207955384702792</v>
      </c>
      <c r="AE95" s="31">
        <f t="shared" si="356"/>
        <v>0.81738762835401946</v>
      </c>
      <c r="AF95" s="31">
        <f t="shared" si="356"/>
        <v>0.81400790023913572</v>
      </c>
      <c r="AG95" s="31">
        <f t="shared" si="356"/>
        <v>0.81065600598494469</v>
      </c>
      <c r="AH95" s="31">
        <f t="shared" si="356"/>
        <v>0.80733160316149555</v>
      </c>
      <c r="AI95" s="31">
        <f t="shared" si="356"/>
        <v>0.80403435493295683</v>
      </c>
      <c r="AJ95" s="31">
        <f t="shared" si="356"/>
        <v>0.80076392994383616</v>
      </c>
      <c r="AK95" s="31">
        <f t="shared" si="356"/>
        <v>0.79752000220798602</v>
      </c>
      <c r="AL95" s="31">
        <f t="shared" si="356"/>
        <v>0.79430225100027518</v>
      </c>
      <c r="AM95" s="31">
        <f t="shared" si="356"/>
        <v>0.79111036075088692</v>
      </c>
      <c r="AN95" s="31">
        <f t="shared" si="356"/>
        <v>0.78794402094215443</v>
      </c>
      <c r="AO95" s="31">
        <f t="shared" si="356"/>
        <v>0.78480292600785262</v>
      </c>
      <c r="AP95" s="31">
        <f t="shared" si="356"/>
        <v>0.78168677523490016</v>
      </c>
      <c r="AQ95" s="31">
        <f t="shared" si="356"/>
        <v>0.77859527266739514</v>
      </c>
      <c r="AR95" s="31">
        <f t="shared" si="356"/>
        <v>0.77552812701290685</v>
      </c>
      <c r="AS95" s="31">
        <f t="shared" si="356"/>
        <v>0.77248505155098468</v>
      </c>
      <c r="AT95" s="31">
        <f t="shared" si="356"/>
        <v>0.76946576404381362</v>
      </c>
      <c r="AU95" s="31">
        <f t="shared" si="356"/>
        <v>0.76646998664894428</v>
      </c>
      <c r="AV95" s="31">
        <f t="shared" si="356"/>
        <v>0.76349744583406687</v>
      </c>
      <c r="AW95" s="31">
        <f t="shared" si="356"/>
        <v>0.76054787229375842</v>
      </c>
      <c r="AX95" s="31">
        <f t="shared" si="356"/>
        <v>0.7576210008681421</v>
      </c>
      <c r="AY95" s="31">
        <f t="shared" si="356"/>
        <v>0.75471657046342955</v>
      </c>
      <c r="AZ95" s="31">
        <f t="shared" si="356"/>
        <v>0.75183432397428218</v>
      </c>
      <c r="BA95" s="31">
        <f t="shared" si="356"/>
        <v>0.74897400820793381</v>
      </c>
      <c r="BB95" s="31">
        <f t="shared" si="356"/>
        <v>0.74613537381005646</v>
      </c>
      <c r="BC95" s="31">
        <f t="shared" si="356"/>
        <v>0.7433181751922876</v>
      </c>
      <c r="BD95" s="31">
        <f t="shared" si="356"/>
        <v>0.74052217046140478</v>
      </c>
      <c r="BE95" s="31">
        <f t="shared" si="356"/>
        <v>0.73774712135009324</v>
      </c>
      <c r="BF95" s="31">
        <f t="shared" si="356"/>
        <v>0.73499279314925281</v>
      </c>
      <c r="BG95" s="31">
        <f t="shared" si="356"/>
        <v>0.732258954641828</v>
      </c>
      <c r="BH95" s="31">
        <f t="shared" si="356"/>
        <v>0.72954537803810682</v>
      </c>
      <c r="BI95" s="31"/>
    </row>
    <row r="96" spans="1:61" x14ac:dyDescent="0.2">
      <c r="A96" t="s">
        <v>644</v>
      </c>
      <c r="B96" s="31"/>
      <c r="C96" s="5">
        <f xml:space="preserve"> C92 + C94</f>
        <v>0</v>
      </c>
      <c r="D96" s="5">
        <f t="shared" ref="D96:AM96" si="357" xml:space="preserve"> D92 + D94</f>
        <v>0</v>
      </c>
      <c r="E96" s="5">
        <f t="shared" si="357"/>
        <v>0</v>
      </c>
      <c r="F96" s="5">
        <f xml:space="preserve"> F92 + F94</f>
        <v>0</v>
      </c>
      <c r="G96" s="5">
        <f t="shared" si="357"/>
        <v>1018828.5376036327</v>
      </c>
      <c r="H96" s="5">
        <f t="shared" si="357"/>
        <v>2037657.0752072653</v>
      </c>
      <c r="I96" s="5">
        <f t="shared" si="357"/>
        <v>3076648.846868291</v>
      </c>
      <c r="J96" s="5">
        <f t="shared" si="357"/>
        <v>4115640.618529317</v>
      </c>
      <c r="K96" s="5">
        <f t="shared" si="357"/>
        <v>5154632.3901903424</v>
      </c>
      <c r="L96" s="5">
        <f t="shared" si="357"/>
        <v>6213787.3959087618</v>
      </c>
      <c r="M96" s="5">
        <f t="shared" si="357"/>
        <v>7293105.635684574</v>
      </c>
      <c r="N96" s="5">
        <f t="shared" si="357"/>
        <v>8352260.6414029924</v>
      </c>
      <c r="O96" s="5">
        <f t="shared" si="357"/>
        <v>9431578.8811788037</v>
      </c>
      <c r="P96" s="5">
        <f t="shared" si="357"/>
        <v>9512231.8174083754</v>
      </c>
      <c r="Q96" s="5">
        <f t="shared" si="357"/>
        <v>9592884.753637949</v>
      </c>
      <c r="R96" s="5">
        <f t="shared" si="357"/>
        <v>9653374.4558101278</v>
      </c>
      <c r="S96" s="5">
        <f t="shared" si="357"/>
        <v>9734027.3920397013</v>
      </c>
      <c r="T96" s="5">
        <f t="shared" si="357"/>
        <v>9794517.0942118801</v>
      </c>
      <c r="U96" s="5">
        <f t="shared" si="357"/>
        <v>9875170.0304414518</v>
      </c>
      <c r="V96" s="5">
        <f t="shared" si="357"/>
        <v>9955822.9666710235</v>
      </c>
      <c r="W96" s="5">
        <f t="shared" si="357"/>
        <v>10036475.902900597</v>
      </c>
      <c r="X96" s="5">
        <f t="shared" si="357"/>
        <v>10096965.605072776</v>
      </c>
      <c r="Y96" s="5">
        <f t="shared" si="357"/>
        <v>10177618.541302349</v>
      </c>
      <c r="Z96" s="5">
        <f t="shared" si="357"/>
        <v>10258271.477531921</v>
      </c>
      <c r="AA96" s="5">
        <f t="shared" si="357"/>
        <v>10338924.413761493</v>
      </c>
      <c r="AB96" s="5">
        <f t="shared" si="357"/>
        <v>10419577.349991065</v>
      </c>
      <c r="AC96" s="5">
        <f t="shared" si="357"/>
        <v>10480067.052163245</v>
      </c>
      <c r="AD96" s="5">
        <f t="shared" si="357"/>
        <v>10560719.988392817</v>
      </c>
      <c r="AE96" s="5">
        <f t="shared" si="357"/>
        <v>10641372.92462239</v>
      </c>
      <c r="AF96" s="5">
        <f t="shared" si="357"/>
        <v>10722025.860851962</v>
      </c>
      <c r="AG96" s="5">
        <f t="shared" si="357"/>
        <v>10802678.797081534</v>
      </c>
      <c r="AH96" s="5">
        <f t="shared" si="357"/>
        <v>10883331.733311106</v>
      </c>
      <c r="AI96" s="5">
        <f t="shared" si="357"/>
        <v>10963984.669540679</v>
      </c>
      <c r="AJ96" s="5">
        <f t="shared" si="357"/>
        <v>11064800.839827644</v>
      </c>
      <c r="AK96" s="5">
        <f t="shared" si="357"/>
        <v>11145453.776057217</v>
      </c>
      <c r="AL96" s="5">
        <f t="shared" si="357"/>
        <v>11226106.712286789</v>
      </c>
      <c r="AM96" s="5">
        <f t="shared" si="357"/>
        <v>11306759.648516361</v>
      </c>
      <c r="AN96" s="5">
        <f t="shared" ref="AN96:AP96" si="358" xml:space="preserve"> AN92 + AN94</f>
        <v>11387412.584745934</v>
      </c>
      <c r="AO96" s="5">
        <f t="shared" si="358"/>
        <v>11488228.755032899</v>
      </c>
      <c r="AP96" s="5">
        <f t="shared" si="358"/>
        <v>11568881.691262472</v>
      </c>
      <c r="AQ96" s="5">
        <f t="shared" ref="AQ96:AS96" si="359" xml:space="preserve"> AQ92 + AQ94</f>
        <v>11649534.627492044</v>
      </c>
      <c r="AR96" s="5">
        <f t="shared" si="359"/>
        <v>11750350.797779009</v>
      </c>
      <c r="AS96" s="5">
        <f t="shared" si="359"/>
        <v>11831003.73400858</v>
      </c>
      <c r="AT96" s="5">
        <f t="shared" ref="AT96:AY96" si="360" xml:space="preserve"> AT92 + AT94</f>
        <v>11911656.670238154</v>
      </c>
      <c r="AU96" s="5">
        <f t="shared" si="360"/>
        <v>12012472.84052512</v>
      </c>
      <c r="AV96" s="5">
        <f t="shared" si="360"/>
        <v>12093125.776754692</v>
      </c>
      <c r="AW96" s="5">
        <f t="shared" si="360"/>
        <v>12193941.947041657</v>
      </c>
      <c r="AX96" s="5">
        <f t="shared" si="360"/>
        <v>12294758.117328621</v>
      </c>
      <c r="AY96" s="5">
        <f t="shared" si="360"/>
        <v>12375411.053558195</v>
      </c>
      <c r="AZ96" s="5">
        <f t="shared" ref="AZ96:BE96" si="361" xml:space="preserve"> AZ92 + AZ94</f>
        <v>12476227.223845161</v>
      </c>
      <c r="BA96" s="5">
        <f t="shared" si="361"/>
        <v>12556880.160074733</v>
      </c>
      <c r="BB96" s="5">
        <f t="shared" si="361"/>
        <v>12657696.330361698</v>
      </c>
      <c r="BC96" s="5">
        <f t="shared" si="361"/>
        <v>12758512.500648664</v>
      </c>
      <c r="BD96" s="5">
        <f t="shared" si="361"/>
        <v>12859328.670935629</v>
      </c>
      <c r="BE96" s="5">
        <f t="shared" si="361"/>
        <v>12939981.607165202</v>
      </c>
      <c r="BF96" s="5">
        <f t="shared" ref="BF96:BG96" si="362" xml:space="preserve"> BF92 + BF94</f>
        <v>13040797.777452167</v>
      </c>
      <c r="BG96" s="5">
        <f t="shared" si="362"/>
        <v>13141613.947739132</v>
      </c>
      <c r="BH96" s="5">
        <f t="shared" ref="BH96" si="363" xml:space="preserve"> BH92 + BH94</f>
        <v>13242430.118026098</v>
      </c>
      <c r="BI96" s="5"/>
    </row>
    <row r="97" spans="1:61" s="151" customFormat="1" x14ac:dyDescent="0.2">
      <c r="A97" s="151" t="s">
        <v>735</v>
      </c>
      <c r="B97" s="169"/>
      <c r="C97" s="170">
        <f xml:space="preserve"> C96 + C99</f>
        <v>0</v>
      </c>
      <c r="D97" s="170">
        <f t="shared" ref="D97:AL97" si="364" xml:space="preserve"> D96 + D99</f>
        <v>0</v>
      </c>
      <c r="E97" s="170">
        <f t="shared" si="364"/>
        <v>0</v>
      </c>
      <c r="F97" s="170">
        <f xml:space="preserve"> F96 + F99</f>
        <v>0</v>
      </c>
      <c r="G97" s="170">
        <f t="shared" si="364"/>
        <v>2316559.7491160906</v>
      </c>
      <c r="H97" s="170">
        <f t="shared" si="364"/>
        <v>4633119.4982321812</v>
      </c>
      <c r="I97" s="170">
        <f t="shared" si="364"/>
        <v>6995525.3683641087</v>
      </c>
      <c r="J97" s="170">
        <f t="shared" si="364"/>
        <v>9357931.2384960353</v>
      </c>
      <c r="K97" s="170">
        <f t="shared" si="364"/>
        <v>11720337.10862796</v>
      </c>
      <c r="L97" s="170">
        <f t="shared" si="364"/>
        <v>14128589.099775724</v>
      </c>
      <c r="M97" s="170">
        <f t="shared" si="364"/>
        <v>16582687.211939326</v>
      </c>
      <c r="N97" s="170">
        <f t="shared" si="364"/>
        <v>18990939.203087088</v>
      </c>
      <c r="O97" s="170">
        <f t="shared" si="364"/>
        <v>21445037.315250687</v>
      </c>
      <c r="P97" s="170">
        <f t="shared" si="364"/>
        <v>21628421.79931403</v>
      </c>
      <c r="Q97" s="170">
        <f t="shared" si="364"/>
        <v>21811806.283377375</v>
      </c>
      <c r="R97" s="170">
        <f t="shared" si="364"/>
        <v>21949344.646424882</v>
      </c>
      <c r="S97" s="170">
        <f t="shared" si="364"/>
        <v>22132729.130488232</v>
      </c>
      <c r="T97" s="170">
        <f t="shared" si="364"/>
        <v>22270267.493535738</v>
      </c>
      <c r="U97" s="170">
        <f t="shared" si="364"/>
        <v>22453651.977599081</v>
      </c>
      <c r="V97" s="170">
        <f t="shared" si="364"/>
        <v>22637036.461662427</v>
      </c>
      <c r="W97" s="170">
        <f t="shared" si="364"/>
        <v>22820420.945725769</v>
      </c>
      <c r="X97" s="170">
        <f t="shared" si="364"/>
        <v>22957959.308773279</v>
      </c>
      <c r="Y97" s="170">
        <f t="shared" si="364"/>
        <v>23141343.792836625</v>
      </c>
      <c r="Z97" s="170">
        <f t="shared" si="364"/>
        <v>23324728.276899971</v>
      </c>
      <c r="AA97" s="170">
        <f t="shared" si="364"/>
        <v>23508112.760963313</v>
      </c>
      <c r="AB97" s="170">
        <f t="shared" si="364"/>
        <v>23691497.245026655</v>
      </c>
      <c r="AC97" s="170">
        <f t="shared" si="364"/>
        <v>23829035.608074166</v>
      </c>
      <c r="AD97" s="170">
        <f t="shared" si="364"/>
        <v>24012420.092137512</v>
      </c>
      <c r="AE97" s="170">
        <f t="shared" si="364"/>
        <v>24195804.576200858</v>
      </c>
      <c r="AF97" s="170">
        <f t="shared" si="364"/>
        <v>24379189.0602642</v>
      </c>
      <c r="AG97" s="170">
        <f t="shared" si="364"/>
        <v>24562573.544327546</v>
      </c>
      <c r="AH97" s="170">
        <f t="shared" si="364"/>
        <v>24745958.028390888</v>
      </c>
      <c r="AI97" s="170">
        <f t="shared" si="364"/>
        <v>24929342.512454234</v>
      </c>
      <c r="AJ97" s="170">
        <f t="shared" si="364"/>
        <v>25158573.117533416</v>
      </c>
      <c r="AK97" s="170">
        <f t="shared" si="364"/>
        <v>25341957.601596761</v>
      </c>
      <c r="AL97" s="170">
        <f t="shared" si="364"/>
        <v>25525342.085660107</v>
      </c>
      <c r="AM97" s="170">
        <f t="shared" ref="AM97:BH97" si="365" xml:space="preserve"> AM96 + AM99</f>
        <v>25708726.56972345</v>
      </c>
      <c r="AN97" s="170">
        <f t="shared" si="365"/>
        <v>25892111.053786796</v>
      </c>
      <c r="AO97" s="170">
        <f t="shared" si="365"/>
        <v>26121341.658865973</v>
      </c>
      <c r="AP97" s="170">
        <f t="shared" si="365"/>
        <v>26304726.142929323</v>
      </c>
      <c r="AQ97" s="170">
        <f t="shared" si="365"/>
        <v>26488110.626992665</v>
      </c>
      <c r="AR97" s="170">
        <f t="shared" si="365"/>
        <v>26717341.232071847</v>
      </c>
      <c r="AS97" s="170">
        <f t="shared" si="365"/>
        <v>26900725.716135189</v>
      </c>
      <c r="AT97" s="170">
        <f t="shared" si="365"/>
        <v>27084110.200198535</v>
      </c>
      <c r="AU97" s="170">
        <f t="shared" si="365"/>
        <v>27313340.805277716</v>
      </c>
      <c r="AV97" s="170">
        <f t="shared" si="365"/>
        <v>27496725.289341062</v>
      </c>
      <c r="AW97" s="170">
        <f t="shared" si="365"/>
        <v>27725955.89442024</v>
      </c>
      <c r="AX97" s="170">
        <f t="shared" si="365"/>
        <v>27955186.499499422</v>
      </c>
      <c r="AY97" s="170">
        <f t="shared" si="365"/>
        <v>28138570.983562768</v>
      </c>
      <c r="AZ97" s="170">
        <f t="shared" si="365"/>
        <v>28367801.588641949</v>
      </c>
      <c r="BA97" s="170">
        <f t="shared" si="365"/>
        <v>28551186.072705291</v>
      </c>
      <c r="BB97" s="170">
        <f t="shared" si="365"/>
        <v>28780416.677784473</v>
      </c>
      <c r="BC97" s="170">
        <f t="shared" si="365"/>
        <v>29009647.282863654</v>
      </c>
      <c r="BD97" s="170">
        <f t="shared" si="365"/>
        <v>29238877.887942836</v>
      </c>
      <c r="BE97" s="170">
        <f t="shared" si="365"/>
        <v>29422262.372006182</v>
      </c>
      <c r="BF97" s="170">
        <f t="shared" si="365"/>
        <v>29651492.977085359</v>
      </c>
      <c r="BG97" s="170">
        <f t="shared" si="365"/>
        <v>29880723.582164541</v>
      </c>
      <c r="BH97" s="170">
        <f t="shared" si="365"/>
        <v>30109954.187243722</v>
      </c>
      <c r="BI97" s="170"/>
    </row>
    <row r="98" spans="1:61" s="104" customFormat="1" x14ac:dyDescent="0.2">
      <c r="A98" s="1" t="s">
        <v>811</v>
      </c>
      <c r="B98" s="160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</row>
    <row r="99" spans="1:61" x14ac:dyDescent="0.2">
      <c r="A99" t="s">
        <v>625</v>
      </c>
      <c r="B99" s="31"/>
      <c r="C99" s="5">
        <f xml:space="preserve"> (C17 * 'Levellized Salt Sep Plant'!$C$44) + (C69 * 'Levellized Salt Sep Plant'!$I$44)</f>
        <v>0</v>
      </c>
      <c r="D99" s="5">
        <f xml:space="preserve"> (D17 * 'Levellized Salt Sep Plant'!$C$44) + (D69 * 'Levellized Salt Sep Plant'!$I$44)</f>
        <v>0</v>
      </c>
      <c r="E99" s="5">
        <f xml:space="preserve"> (E17 * 'Levellized Salt Sep Plant'!$C$44) + (E69 * 'Levellized Salt Sep Plant'!$I$44)</f>
        <v>0</v>
      </c>
      <c r="F99" s="5">
        <f xml:space="preserve"> (F17 * 'Levellized Salt Sep Plant'!$C$44) + (F69 * 'Levellized Salt Sep Plant'!$I$44)</f>
        <v>0</v>
      </c>
      <c r="G99" s="5">
        <f xml:space="preserve"> (G17 * 'Levellized Salt Sep Plant'!$C$44) + (G69 * 'Levellized Salt Sep Plant'!$I$44)</f>
        <v>1297731.211512458</v>
      </c>
      <c r="H99" s="5">
        <f xml:space="preserve"> (H17 * 'Levellized Salt Sep Plant'!$C$44) + (H69 * 'Levellized Salt Sep Plant'!$I$44)</f>
        <v>2595462.4230249161</v>
      </c>
      <c r="I99" s="5">
        <f xml:space="preserve"> (I17 * 'Levellized Salt Sep Plant'!$C$44) + (I69 * 'Levellized Salt Sep Plant'!$I$44)</f>
        <v>3918876.5214958172</v>
      </c>
      <c r="J99" s="5">
        <f xml:space="preserve"> (J17 * 'Levellized Salt Sep Plant'!$C$44) + (J69 * 'Levellized Salt Sep Plant'!$I$44)</f>
        <v>5242290.6199667184</v>
      </c>
      <c r="K99" s="5">
        <f xml:space="preserve"> (K17 * 'Levellized Salt Sep Plant'!$C$44) + (K69 * 'Levellized Salt Sep Plant'!$I$44)</f>
        <v>6565704.7184376186</v>
      </c>
      <c r="L99" s="5">
        <f xml:space="preserve"> (L17 * 'Levellized Salt Sep Plant'!$C$44) + (L69 * 'Levellized Salt Sep Plant'!$I$44)</f>
        <v>7914801.7038669633</v>
      </c>
      <c r="M99" s="5">
        <f xml:space="preserve"> (M17 * 'Levellized Salt Sep Plant'!$C$44) + (M69 * 'Levellized Salt Sep Plant'!$I$44)</f>
        <v>9289581.5762547515</v>
      </c>
      <c r="N99" s="5">
        <f xml:space="preserve"> (N17 * 'Levellized Salt Sep Plant'!$C$44) + (N69 * 'Levellized Salt Sep Plant'!$I$44)</f>
        <v>10638678.561684094</v>
      </c>
      <c r="O99" s="5">
        <f xml:space="preserve"> (O17 * 'Levellized Salt Sep Plant'!$C$44) + (O69 * 'Levellized Salt Sep Plant'!$I$44)</f>
        <v>12013458.434071882</v>
      </c>
      <c r="P99" s="5">
        <f xml:space="preserve"> (P17 * 'Levellized Salt Sep Plant'!$C$44) + (P69 * 'Levellized Salt Sep Plant'!$I$44)</f>
        <v>12116189.981905654</v>
      </c>
      <c r="Q99" s="5">
        <f xml:space="preserve"> (Q17 * 'Levellized Salt Sep Plant'!$C$44) + (Q69 * 'Levellized Salt Sep Plant'!$I$44)</f>
        <v>12218921.529739426</v>
      </c>
      <c r="R99" s="5">
        <f xml:space="preserve"> (R17 * 'Levellized Salt Sep Plant'!$C$44) + (R69 * 'Levellized Salt Sep Plant'!$I$44)</f>
        <v>12295970.190614756</v>
      </c>
      <c r="S99" s="5">
        <f xml:space="preserve"> (S17 * 'Levellized Salt Sep Plant'!$C$44) + (S69 * 'Levellized Salt Sep Plant'!$I$44)</f>
        <v>12398701.738448529</v>
      </c>
      <c r="T99" s="5">
        <f xml:space="preserve"> (T17 * 'Levellized Salt Sep Plant'!$C$44) + (T69 * 'Levellized Salt Sep Plant'!$I$44)</f>
        <v>12475750.399323858</v>
      </c>
      <c r="U99" s="5">
        <f xml:space="preserve"> (U17 * 'Levellized Salt Sep Plant'!$C$44) + (U69 * 'Levellized Salt Sep Plant'!$I$44)</f>
        <v>12578481.947157629</v>
      </c>
      <c r="V99" s="5">
        <f xml:space="preserve"> (V17 * 'Levellized Salt Sep Plant'!$C$44) + (V69 * 'Levellized Salt Sep Plant'!$I$44)</f>
        <v>12681213.494991401</v>
      </c>
      <c r="W99" s="5">
        <f xml:space="preserve"> (W17 * 'Levellized Salt Sep Plant'!$C$44) + (W69 * 'Levellized Salt Sep Plant'!$I$44)</f>
        <v>12783945.042825174</v>
      </c>
      <c r="X99" s="5">
        <f xml:space="preserve"> (X17 * 'Levellized Salt Sep Plant'!$C$44) + (X69 * 'Levellized Salt Sep Plant'!$I$44)</f>
        <v>12860993.703700503</v>
      </c>
      <c r="Y99" s="5">
        <f xml:space="preserve"> (Y17 * 'Levellized Salt Sep Plant'!$C$44) + (Y69 * 'Levellized Salt Sep Plant'!$I$44)</f>
        <v>12963725.251534276</v>
      </c>
      <c r="Z99" s="5">
        <f xml:space="preserve"> (Z17 * 'Levellized Salt Sep Plant'!$C$44) + (Z69 * 'Levellized Salt Sep Plant'!$I$44)</f>
        <v>13066456.799368048</v>
      </c>
      <c r="AA99" s="5">
        <f xml:space="preserve"> (AA17 * 'Levellized Salt Sep Plant'!$C$44) + (AA69 * 'Levellized Salt Sep Plant'!$I$44)</f>
        <v>13169188.34720182</v>
      </c>
      <c r="AB99" s="5">
        <f xml:space="preserve"> (AB17 * 'Levellized Salt Sep Plant'!$C$44) + (AB69 * 'Levellized Salt Sep Plant'!$I$44)</f>
        <v>13271919.895035593</v>
      </c>
      <c r="AC99" s="5">
        <f xml:space="preserve"> (AC17 * 'Levellized Salt Sep Plant'!$C$44) + (AC69 * 'Levellized Salt Sep Plant'!$I$44)</f>
        <v>13348968.555910923</v>
      </c>
      <c r="AD99" s="5">
        <f xml:space="preserve"> (AD17 * 'Levellized Salt Sep Plant'!$C$44) + (AD69 * 'Levellized Salt Sep Plant'!$I$44)</f>
        <v>13451700.103744695</v>
      </c>
      <c r="AE99" s="5">
        <f xml:space="preserve"> (AE17 * 'Levellized Salt Sep Plant'!$C$44) + (AE69 * 'Levellized Salt Sep Plant'!$I$44)</f>
        <v>13554431.651578467</v>
      </c>
      <c r="AF99" s="5">
        <f xml:space="preserve"> (AF17 * 'Levellized Salt Sep Plant'!$C$44) + (AF69 * 'Levellized Salt Sep Plant'!$I$44)</f>
        <v>13657163.19941224</v>
      </c>
      <c r="AG99" s="5">
        <f xml:space="preserve"> (AG17 * 'Levellized Salt Sep Plant'!$C$44) + (AG69 * 'Levellized Salt Sep Plant'!$I$44)</f>
        <v>13759894.747246012</v>
      </c>
      <c r="AH99" s="5">
        <f xml:space="preserve"> (AH17 * 'Levellized Salt Sep Plant'!$C$44) + (AH69 * 'Levellized Salt Sep Plant'!$I$44)</f>
        <v>13862626.295079783</v>
      </c>
      <c r="AI99" s="5">
        <f xml:space="preserve"> (AI17 * 'Levellized Salt Sep Plant'!$C$44) + (AI69 * 'Levellized Salt Sep Plant'!$I$44)</f>
        <v>13965357.842913557</v>
      </c>
      <c r="AJ99" s="5">
        <f xml:space="preserve"> (AJ17 * 'Levellized Salt Sep Plant'!$C$44) + (AJ69 * 'Levellized Salt Sep Plant'!$I$44)</f>
        <v>14093772.277705772</v>
      </c>
      <c r="AK99" s="5">
        <f xml:space="preserve"> (AK17 * 'Levellized Salt Sep Plant'!$C$44) + (AK69 * 'Levellized Salt Sep Plant'!$I$44)</f>
        <v>14196503.825539544</v>
      </c>
      <c r="AL99" s="5">
        <f xml:space="preserve"> (AL17 * 'Levellized Salt Sep Plant'!$C$44) + (AL69 * 'Levellized Salt Sep Plant'!$I$44)</f>
        <v>14299235.373373317</v>
      </c>
      <c r="AM99" s="5">
        <f xml:space="preserve"> (AM17 * 'Levellized Salt Sep Plant'!$C$44) + (AM69 * 'Levellized Salt Sep Plant'!$I$44)</f>
        <v>14401966.921207089</v>
      </c>
      <c r="AN99" s="5">
        <f xml:space="preserve"> (AN17 * 'Levellized Salt Sep Plant'!$C$44) + (AN69 * 'Levellized Salt Sep Plant'!$I$44)</f>
        <v>14504698.469040861</v>
      </c>
      <c r="AO99" s="5">
        <f xml:space="preserve"> (AO17 * 'Levellized Salt Sep Plant'!$C$44) + (AO69 * 'Levellized Salt Sep Plant'!$I$44)</f>
        <v>14633112.903833076</v>
      </c>
      <c r="AP99" s="5">
        <f xml:space="preserve"> (AP17 * 'Levellized Salt Sep Plant'!$C$44) + (AP69 * 'Levellized Salt Sep Plant'!$I$44)</f>
        <v>14735844.451666849</v>
      </c>
      <c r="AQ99" s="5">
        <f xml:space="preserve"> (AQ17 * 'Levellized Salt Sep Plant'!$C$44) + (AQ69 * 'Levellized Salt Sep Plant'!$I$44)</f>
        <v>14838575.999500621</v>
      </c>
      <c r="AR99" s="5">
        <f xml:space="preserve"> (AR17 * 'Levellized Salt Sep Plant'!$C$44) + (AR69 * 'Levellized Salt Sep Plant'!$I$44)</f>
        <v>14966990.434292836</v>
      </c>
      <c r="AS99" s="5">
        <f xml:space="preserve"> (AS17 * 'Levellized Salt Sep Plant'!$C$44) + (AS69 * 'Levellized Salt Sep Plant'!$I$44)</f>
        <v>15069721.982126608</v>
      </c>
      <c r="AT99" s="5">
        <f xml:space="preserve"> (AT17 * 'Levellized Salt Sep Plant'!$C$44) + (AT69 * 'Levellized Salt Sep Plant'!$I$44)</f>
        <v>15172453.529960381</v>
      </c>
      <c r="AU99" s="5">
        <f xml:space="preserve"> (AU17 * 'Levellized Salt Sep Plant'!$C$44) + (AU69 * 'Levellized Salt Sep Plant'!$I$44)</f>
        <v>15300867.964752596</v>
      </c>
      <c r="AV99" s="5">
        <f xml:space="preserve"> (AV17 * 'Levellized Salt Sep Plant'!$C$44) + (AV69 * 'Levellized Salt Sep Plant'!$I$44)</f>
        <v>15403599.512586368</v>
      </c>
      <c r="AW99" s="5">
        <f xml:space="preserve"> (AW17 * 'Levellized Salt Sep Plant'!$C$44) + (AW69 * 'Levellized Salt Sep Plant'!$I$44)</f>
        <v>15532013.947378583</v>
      </c>
      <c r="AX99" s="5">
        <f xml:space="preserve"> (AX17 * 'Levellized Salt Sep Plant'!$C$44) + (AX69 * 'Levellized Salt Sep Plant'!$I$44)</f>
        <v>15660428.3821708</v>
      </c>
      <c r="AY99" s="5">
        <f xml:space="preserve"> (AY17 * 'Levellized Salt Sep Plant'!$C$44) + (AY69 * 'Levellized Salt Sep Plant'!$I$44)</f>
        <v>15763159.930004571</v>
      </c>
      <c r="AZ99" s="5">
        <f xml:space="preserve"> (AZ17 * 'Levellized Salt Sep Plant'!$C$44) + (AZ69 * 'Levellized Salt Sep Plant'!$I$44)</f>
        <v>15891574.364796788</v>
      </c>
      <c r="BA99" s="5">
        <f xml:space="preserve"> (BA17 * 'Levellized Salt Sep Plant'!$C$44) + (BA69 * 'Levellized Salt Sep Plant'!$I$44)</f>
        <v>15994305.912630558</v>
      </c>
      <c r="BB99" s="5">
        <f xml:space="preserve"> (BB17 * 'Levellized Salt Sep Plant'!$C$44) + (BB69 * 'Levellized Salt Sep Plant'!$I$44)</f>
        <v>16122720.347422775</v>
      </c>
      <c r="BC99" s="5">
        <f xml:space="preserve"> (BC17 * 'Levellized Salt Sep Plant'!$C$44) + (BC69 * 'Levellized Salt Sep Plant'!$I$44)</f>
        <v>16251134.78221499</v>
      </c>
      <c r="BD99" s="5">
        <f xml:space="preserve"> (BD17 * 'Levellized Salt Sep Plant'!$C$44) + (BD69 * 'Levellized Salt Sep Plant'!$I$44)</f>
        <v>16379549.217007205</v>
      </c>
      <c r="BE99" s="5">
        <f xml:space="preserve"> (BE17 * 'Levellized Salt Sep Plant'!$C$44) + (BE69 * 'Levellized Salt Sep Plant'!$I$44)</f>
        <v>16482280.764840979</v>
      </c>
      <c r="BF99" s="5">
        <f xml:space="preserve"> (BF17 * 'Levellized Salt Sep Plant'!$C$44) + (BF69 * 'Levellized Salt Sep Plant'!$I$44)</f>
        <v>16610695.199633192</v>
      </c>
      <c r="BG99" s="5">
        <f xml:space="preserve"> (BG17 * 'Levellized Salt Sep Plant'!$C$44) + (BG69 * 'Levellized Salt Sep Plant'!$I$44)</f>
        <v>16739109.634425409</v>
      </c>
      <c r="BH99" s="5">
        <f xml:space="preserve"> (BH17 * 'Levellized Salt Sep Plant'!$C$44) + (BH69 * 'Levellized Salt Sep Plant'!$I$44)</f>
        <v>16867524.069217622</v>
      </c>
      <c r="BI99" s="5"/>
    </row>
    <row r="100" spans="1:61" x14ac:dyDescent="0.2">
      <c r="A100" t="s">
        <v>629</v>
      </c>
      <c r="B100" s="31"/>
      <c r="C100" s="8">
        <f xml:space="preserve"> C99 / (60833.3/10*640)</f>
        <v>0</v>
      </c>
      <c r="D100" s="8">
        <f t="shared" ref="D100:AM100" si="366" xml:space="preserve"> D99 / (60833.3/10*640)</f>
        <v>0</v>
      </c>
      <c r="E100" s="8">
        <f t="shared" si="366"/>
        <v>0</v>
      </c>
      <c r="F100" s="8">
        <f t="shared" si="366"/>
        <v>0</v>
      </c>
      <c r="G100" s="8">
        <f t="shared" si="366"/>
        <v>0.33332155546192882</v>
      </c>
      <c r="H100" s="8">
        <f t="shared" si="366"/>
        <v>0.66664311092385764</v>
      </c>
      <c r="I100" s="8">
        <f t="shared" si="366"/>
        <v>1.0065613019246389</v>
      </c>
      <c r="J100" s="8">
        <f t="shared" si="366"/>
        <v>1.3464794929254202</v>
      </c>
      <c r="K100" s="8">
        <f t="shared" si="366"/>
        <v>1.6863976839262014</v>
      </c>
      <c r="L100" s="8">
        <f t="shared" si="366"/>
        <v>2.0329125104658354</v>
      </c>
      <c r="M100" s="8">
        <f t="shared" si="366"/>
        <v>2.3860239725443217</v>
      </c>
      <c r="N100" s="8">
        <f t="shared" si="366"/>
        <v>2.7325387990839549</v>
      </c>
      <c r="O100" s="8">
        <f t="shared" si="366"/>
        <v>3.0856502611624412</v>
      </c>
      <c r="P100" s="8">
        <f t="shared" si="366"/>
        <v>3.1120368033178512</v>
      </c>
      <c r="Q100" s="8">
        <f t="shared" si="366"/>
        <v>3.1384233454732611</v>
      </c>
      <c r="R100" s="8">
        <f t="shared" si="366"/>
        <v>3.1582132520898183</v>
      </c>
      <c r="S100" s="8">
        <f t="shared" si="366"/>
        <v>3.1845997942452282</v>
      </c>
      <c r="T100" s="8">
        <f t="shared" si="366"/>
        <v>3.2043897008617859</v>
      </c>
      <c r="U100" s="8">
        <f t="shared" si="366"/>
        <v>3.2307762430171953</v>
      </c>
      <c r="V100" s="8">
        <f t="shared" si="366"/>
        <v>3.2571627851726048</v>
      </c>
      <c r="W100" s="8">
        <f t="shared" si="366"/>
        <v>3.2835493273280147</v>
      </c>
      <c r="X100" s="8">
        <f t="shared" si="366"/>
        <v>3.3033392339445724</v>
      </c>
      <c r="Y100" s="8">
        <f t="shared" si="366"/>
        <v>3.3297257760999823</v>
      </c>
      <c r="Z100" s="8">
        <f t="shared" si="366"/>
        <v>3.3561123182553922</v>
      </c>
      <c r="AA100" s="8">
        <f t="shared" si="366"/>
        <v>3.3824988604108017</v>
      </c>
      <c r="AB100" s="8">
        <f t="shared" si="366"/>
        <v>3.4088854025662116</v>
      </c>
      <c r="AC100" s="8">
        <f t="shared" si="366"/>
        <v>3.4286753091827693</v>
      </c>
      <c r="AD100" s="8">
        <f t="shared" si="366"/>
        <v>3.4550618513381792</v>
      </c>
      <c r="AE100" s="8">
        <f t="shared" si="366"/>
        <v>3.4814483934935887</v>
      </c>
      <c r="AF100" s="8">
        <f t="shared" si="366"/>
        <v>3.5078349356489986</v>
      </c>
      <c r="AG100" s="8">
        <f t="shared" si="366"/>
        <v>3.5342214778044085</v>
      </c>
      <c r="AH100" s="8">
        <f t="shared" si="366"/>
        <v>3.560608019959818</v>
      </c>
      <c r="AI100" s="8">
        <f t="shared" si="366"/>
        <v>3.5869945621152284</v>
      </c>
      <c r="AJ100" s="8">
        <f t="shared" si="366"/>
        <v>3.6199777398094906</v>
      </c>
      <c r="AK100" s="8">
        <f t="shared" si="366"/>
        <v>3.6463642819649005</v>
      </c>
      <c r="AL100" s="8">
        <f t="shared" si="366"/>
        <v>3.67275082412031</v>
      </c>
      <c r="AM100" s="8">
        <f t="shared" si="366"/>
        <v>3.6991373662757199</v>
      </c>
      <c r="AN100" s="8">
        <f t="shared" ref="AN100:AP100" si="367" xml:space="preserve"> AN99 / (60833.3/10*640)</f>
        <v>3.7255239084311298</v>
      </c>
      <c r="AO100" s="8">
        <f t="shared" si="367"/>
        <v>3.758507086125392</v>
      </c>
      <c r="AP100" s="8">
        <f t="shared" si="367"/>
        <v>3.7848936282808019</v>
      </c>
      <c r="AQ100" s="8">
        <f t="shared" ref="AQ100:AS100" si="368" xml:space="preserve"> AQ99 / (60833.3/10*640)</f>
        <v>3.8112801704362118</v>
      </c>
      <c r="AR100" s="8">
        <f t="shared" si="368"/>
        <v>3.844263348130474</v>
      </c>
      <c r="AS100" s="8">
        <f t="shared" si="368"/>
        <v>3.8706498902858835</v>
      </c>
      <c r="AT100" s="8">
        <f t="shared" ref="AT100:AY100" si="369" xml:space="preserve"> AT99 / (60833.3/10*640)</f>
        <v>3.8970364324412934</v>
      </c>
      <c r="AU100" s="8">
        <f t="shared" si="369"/>
        <v>3.9300196101355556</v>
      </c>
      <c r="AV100" s="8">
        <f t="shared" si="369"/>
        <v>3.9564061522909655</v>
      </c>
      <c r="AW100" s="8">
        <f t="shared" si="369"/>
        <v>3.9893893299852277</v>
      </c>
      <c r="AX100" s="8">
        <f t="shared" si="369"/>
        <v>4.0223725076794903</v>
      </c>
      <c r="AY100" s="8">
        <f t="shared" si="369"/>
        <v>4.0487590498348993</v>
      </c>
      <c r="AZ100" s="8">
        <f t="shared" ref="AZ100:BE100" si="370" xml:space="preserve"> AZ99 / (60833.3/10*640)</f>
        <v>4.0817422275291619</v>
      </c>
      <c r="BA100" s="8">
        <f t="shared" si="370"/>
        <v>4.1081287696845719</v>
      </c>
      <c r="BB100" s="8">
        <f t="shared" si="370"/>
        <v>4.1411119473788345</v>
      </c>
      <c r="BC100" s="8">
        <f t="shared" si="370"/>
        <v>4.1740951250730962</v>
      </c>
      <c r="BD100" s="8">
        <f t="shared" si="370"/>
        <v>4.2070783027673588</v>
      </c>
      <c r="BE100" s="8">
        <f t="shared" si="370"/>
        <v>4.2334648449227688</v>
      </c>
      <c r="BF100" s="8">
        <f t="shared" ref="BF100:BG100" si="371" xml:space="preserve"> BF99 / (60833.3/10*640)</f>
        <v>4.2664480226170305</v>
      </c>
      <c r="BG100" s="8">
        <f t="shared" si="371"/>
        <v>4.2994312003112931</v>
      </c>
      <c r="BH100" s="8">
        <f t="shared" ref="BH100" si="372" xml:space="preserve"> BH99 / (60833.3/10*640)</f>
        <v>4.3324143780055548</v>
      </c>
      <c r="BI100" s="8"/>
    </row>
    <row r="101" spans="1:61" x14ac:dyDescent="0.2">
      <c r="A101" t="s">
        <v>635</v>
      </c>
      <c r="B101" s="31"/>
      <c r="C101" s="8">
        <f xml:space="preserve"> C100</f>
        <v>0</v>
      </c>
      <c r="D101" s="8">
        <f xml:space="preserve"> SUM($C100:D100)</f>
        <v>0</v>
      </c>
      <c r="E101" s="8">
        <f xml:space="preserve"> SUM($C100:E100)</f>
        <v>0</v>
      </c>
      <c r="F101" s="8">
        <f xml:space="preserve"> SUM($C100:F100)</f>
        <v>0</v>
      </c>
      <c r="G101" s="8">
        <f xml:space="preserve"> SUM($C100:G100)</f>
        <v>0.33332155546192882</v>
      </c>
      <c r="H101" s="8">
        <f xml:space="preserve"> SUM($C100:H100)</f>
        <v>0.9999646663857864</v>
      </c>
      <c r="I101" s="8">
        <f xml:space="preserve"> SUM($C100:I100)</f>
        <v>2.0065259683104255</v>
      </c>
      <c r="J101" s="8">
        <f xml:space="preserve"> SUM($C100:J100)</f>
        <v>3.3530054612358455</v>
      </c>
      <c r="K101" s="8">
        <f xml:space="preserve"> SUM($C100:K100)</f>
        <v>5.0394031451620469</v>
      </c>
      <c r="L101" s="8">
        <f xml:space="preserve"> SUM($C100:L100)</f>
        <v>7.0723156556278823</v>
      </c>
      <c r="M101" s="8">
        <f xml:space="preserve"> SUM($C100:M100)</f>
        <v>9.4583396281722045</v>
      </c>
      <c r="N101" s="8">
        <f xml:space="preserve"> SUM($C100:N100)</f>
        <v>12.190878427256159</v>
      </c>
      <c r="O101" s="8">
        <f xml:space="preserve"> SUM($C100:O100)</f>
        <v>15.276528688418601</v>
      </c>
      <c r="P101" s="8">
        <f xml:space="preserve"> SUM($C100:P100)</f>
        <v>18.38856549173645</v>
      </c>
      <c r="Q101" s="8">
        <f xml:space="preserve"> SUM($C100:Q100)</f>
        <v>21.526988837209711</v>
      </c>
      <c r="R101" s="8">
        <f xml:space="preserve"> SUM($C100:R100)</f>
        <v>24.68520208929953</v>
      </c>
      <c r="S101" s="8">
        <f xml:space="preserve"> SUM($C100:S100)</f>
        <v>27.86980188354476</v>
      </c>
      <c r="T101" s="8">
        <f xml:space="preserve"> SUM($C100:T100)</f>
        <v>31.074191584406545</v>
      </c>
      <c r="U101" s="8">
        <f xml:space="preserve"> SUM($C100:U100)</f>
        <v>34.304967827423738</v>
      </c>
      <c r="V101" s="8">
        <f xml:space="preserve"> SUM($C100:V100)</f>
        <v>37.562130612596341</v>
      </c>
      <c r="W101" s="8">
        <f xml:space="preserve"> SUM($C100:W100)</f>
        <v>40.845679939924359</v>
      </c>
      <c r="X101" s="8">
        <f xml:space="preserve"> SUM($C100:X100)</f>
        <v>44.149019173868929</v>
      </c>
      <c r="Y101" s="8">
        <f xml:space="preserve"> SUM($C100:Y100)</f>
        <v>47.478744949968913</v>
      </c>
      <c r="Z101" s="8">
        <f xml:space="preserve"> SUM($C100:Z100)</f>
        <v>50.834857268224305</v>
      </c>
      <c r="AA101" s="8">
        <f xml:space="preserve"> SUM($C100:AA100)</f>
        <v>54.217356128635103</v>
      </c>
      <c r="AB101" s="8">
        <f xml:space="preserve"> SUM($C100:AB100)</f>
        <v>57.626241531201316</v>
      </c>
      <c r="AC101" s="8">
        <f xml:space="preserve"> SUM($C100:AC100)</f>
        <v>61.054916840384088</v>
      </c>
      <c r="AD101" s="8">
        <f xml:space="preserve"> SUM($C100:AD100)</f>
        <v>64.509978691722267</v>
      </c>
      <c r="AE101" s="8">
        <f xml:space="preserve"> SUM($C100:AE100)</f>
        <v>67.991427085215861</v>
      </c>
      <c r="AF101" s="8">
        <f xml:space="preserve"> SUM($C100:AF100)</f>
        <v>71.499262020864862</v>
      </c>
      <c r="AG101" s="8">
        <f xml:space="preserve"> SUM($C100:AG100)</f>
        <v>75.03348349866927</v>
      </c>
      <c r="AH101" s="8">
        <f xml:space="preserve"> SUM($C100:AH100)</f>
        <v>78.594091518629085</v>
      </c>
      <c r="AI101" s="8">
        <f xml:space="preserve"> SUM($C100:AI100)</f>
        <v>82.181086080744308</v>
      </c>
      <c r="AJ101" s="8">
        <f xml:space="preserve"> SUM($C100:AJ100)</f>
        <v>85.801063820553793</v>
      </c>
      <c r="AK101" s="8">
        <f xml:space="preserve"> SUM($C100:AK100)</f>
        <v>89.4474281025187</v>
      </c>
      <c r="AL101" s="8">
        <f xml:space="preserve"> SUM($C100:AL100)</f>
        <v>93.120178926639014</v>
      </c>
      <c r="AM101" s="8">
        <f xml:space="preserve"> SUM($C100:AM100)</f>
        <v>96.819316292914735</v>
      </c>
      <c r="AN101" s="8">
        <f xml:space="preserve"> SUM($C100:AN100)</f>
        <v>100.54484020134586</v>
      </c>
      <c r="AO101" s="8">
        <f xml:space="preserve"> SUM($C100:AO100)</f>
        <v>104.30334728747125</v>
      </c>
      <c r="AP101" s="8">
        <f xml:space="preserve"> SUM($C100:AP100)</f>
        <v>108.08824091575205</v>
      </c>
      <c r="AQ101" s="8">
        <f xml:space="preserve"> SUM($C100:AQ100)</f>
        <v>111.89952108618826</v>
      </c>
      <c r="AR101" s="8">
        <f xml:space="preserve"> SUM($C100:AR100)</f>
        <v>115.74378443431873</v>
      </c>
      <c r="AS101" s="8">
        <f xml:space="preserve"> SUM($C100:AS100)</f>
        <v>119.61443432460462</v>
      </c>
      <c r="AT101" s="8">
        <f xml:space="preserve"> SUM($C100:AT100)</f>
        <v>123.51147075704591</v>
      </c>
      <c r="AU101" s="8">
        <f xml:space="preserve"> SUM($C100:AU100)</f>
        <v>127.44149036718147</v>
      </c>
      <c r="AV101" s="8">
        <f xml:space="preserve"> SUM($C100:AV100)</f>
        <v>131.39789651947243</v>
      </c>
      <c r="AW101" s="8">
        <f xml:space="preserve"> SUM($C100:AW100)</f>
        <v>135.38728584945764</v>
      </c>
      <c r="AX101" s="8">
        <f xml:space="preserve"> SUM($C100:AX100)</f>
        <v>139.40965835713712</v>
      </c>
      <c r="AY101" s="8">
        <f xml:space="preserve"> SUM($C100:AY100)</f>
        <v>143.45841740697202</v>
      </c>
      <c r="AZ101" s="8">
        <f xml:space="preserve"> SUM($C100:AZ100)</f>
        <v>147.54015963450118</v>
      </c>
      <c r="BA101" s="8">
        <f xml:space="preserve"> SUM($C100:BA100)</f>
        <v>151.64828840418576</v>
      </c>
      <c r="BB101" s="8">
        <f xml:space="preserve"> SUM($C100:BB100)</f>
        <v>155.78940035156461</v>
      </c>
      <c r="BC101" s="8">
        <f xml:space="preserve"> SUM($C100:BC100)</f>
        <v>159.96349547663772</v>
      </c>
      <c r="BD101" s="8">
        <f xml:space="preserve"> SUM($C100:BD100)</f>
        <v>164.17057377940509</v>
      </c>
      <c r="BE101" s="8">
        <f xml:space="preserve"> SUM($C100:BE100)</f>
        <v>168.40403862432785</v>
      </c>
      <c r="BF101" s="8">
        <f xml:space="preserve"> SUM($C100:BF100)</f>
        <v>172.67048664694488</v>
      </c>
      <c r="BG101" s="8">
        <f xml:space="preserve"> SUM($C100:BG100)</f>
        <v>176.96991784725617</v>
      </c>
      <c r="BH101" s="8">
        <f xml:space="preserve"> SUM($C100:BH100)</f>
        <v>181.30233222526172</v>
      </c>
      <c r="BI101" s="8"/>
    </row>
    <row r="102" spans="1:61" x14ac:dyDescent="0.2">
      <c r="A102" t="s">
        <v>520</v>
      </c>
      <c r="B102" s="31"/>
      <c r="C102" s="127">
        <f t="shared" ref="C102:AL102" si="373" xml:space="preserve"> D103</f>
        <v>0</v>
      </c>
      <c r="D102" s="127">
        <f t="shared" si="373"/>
        <v>0</v>
      </c>
      <c r="E102" s="127">
        <f t="shared" si="373"/>
        <v>0</v>
      </c>
      <c r="F102" s="127">
        <f t="shared" si="373"/>
        <v>0.33332155546192882</v>
      </c>
      <c r="G102" s="127">
        <f t="shared" si="373"/>
        <v>0.66664311092385764</v>
      </c>
      <c r="H102" s="127">
        <f t="shared" si="373"/>
        <v>1.0065613019246389</v>
      </c>
      <c r="I102" s="127">
        <f t="shared" si="373"/>
        <v>1.3464794929254202</v>
      </c>
      <c r="J102" s="127">
        <f t="shared" si="373"/>
        <v>1.6863976839262014</v>
      </c>
      <c r="K102" s="127">
        <f t="shared" si="373"/>
        <v>2.0329125104658354</v>
      </c>
      <c r="L102" s="127">
        <f t="shared" si="373"/>
        <v>2.3860239725443217</v>
      </c>
      <c r="M102" s="127">
        <f t="shared" si="373"/>
        <v>2.7325387990839549</v>
      </c>
      <c r="N102" s="127">
        <f t="shared" si="373"/>
        <v>3.0856502611624412</v>
      </c>
      <c r="O102" s="127">
        <f t="shared" si="373"/>
        <v>3.1120368033178512</v>
      </c>
      <c r="P102" s="127">
        <f t="shared" si="373"/>
        <v>3.1384233454732611</v>
      </c>
      <c r="Q102" s="127">
        <f t="shared" si="373"/>
        <v>3.1582132520898183</v>
      </c>
      <c r="R102" s="127">
        <f t="shared" si="373"/>
        <v>3.1845997942452282</v>
      </c>
      <c r="S102" s="127">
        <f t="shared" si="373"/>
        <v>3.2043897008617859</v>
      </c>
      <c r="T102" s="127">
        <f t="shared" si="373"/>
        <v>3.2307762430171953</v>
      </c>
      <c r="U102" s="127">
        <f t="shared" si="373"/>
        <v>3.2571627851726048</v>
      </c>
      <c r="V102" s="127">
        <f t="shared" si="373"/>
        <v>3.2835493273280147</v>
      </c>
      <c r="W102" s="127">
        <f t="shared" si="373"/>
        <v>3.3033392339445724</v>
      </c>
      <c r="X102" s="127">
        <f t="shared" si="373"/>
        <v>3.3297257760999823</v>
      </c>
      <c r="Y102" s="127">
        <f t="shared" si="373"/>
        <v>3.3561123182553922</v>
      </c>
      <c r="Z102" s="127">
        <f t="shared" si="373"/>
        <v>3.3824988604108017</v>
      </c>
      <c r="AA102" s="127">
        <f t="shared" si="373"/>
        <v>3.4088854025662116</v>
      </c>
      <c r="AB102" s="127">
        <f t="shared" si="373"/>
        <v>3.4286753091827693</v>
      </c>
      <c r="AC102" s="127">
        <f t="shared" si="373"/>
        <v>3.4550618513381792</v>
      </c>
      <c r="AD102" s="127">
        <f t="shared" si="373"/>
        <v>3.4814483934935887</v>
      </c>
      <c r="AE102" s="127">
        <f t="shared" si="373"/>
        <v>3.5078349356489986</v>
      </c>
      <c r="AF102" s="127">
        <f t="shared" si="373"/>
        <v>3.5342214778044085</v>
      </c>
      <c r="AG102" s="127">
        <f t="shared" si="373"/>
        <v>3.560608019959818</v>
      </c>
      <c r="AH102" s="127">
        <f t="shared" si="373"/>
        <v>3.5869945621152284</v>
      </c>
      <c r="AI102" s="127">
        <f t="shared" si="373"/>
        <v>3.6199777398094906</v>
      </c>
      <c r="AJ102" s="127">
        <f t="shared" si="373"/>
        <v>3.6463642819649005</v>
      </c>
      <c r="AK102" s="127">
        <f t="shared" si="373"/>
        <v>3.67275082412031</v>
      </c>
      <c r="AL102" s="127">
        <f t="shared" si="373"/>
        <v>3.6991373662757199</v>
      </c>
      <c r="AM102" s="127">
        <f t="shared" ref="AM102:BH102" si="374" xml:space="preserve"> BI103</f>
        <v>0</v>
      </c>
      <c r="AN102" s="127">
        <f t="shared" si="374"/>
        <v>0</v>
      </c>
      <c r="AO102" s="127">
        <f t="shared" si="374"/>
        <v>0</v>
      </c>
      <c r="AP102" s="127">
        <f t="shared" si="374"/>
        <v>0</v>
      </c>
      <c r="AQ102" s="127">
        <f t="shared" si="374"/>
        <v>0</v>
      </c>
      <c r="AR102" s="127">
        <f t="shared" si="374"/>
        <v>0</v>
      </c>
      <c r="AS102" s="127">
        <f t="shared" si="374"/>
        <v>0</v>
      </c>
      <c r="AT102" s="127">
        <f t="shared" si="374"/>
        <v>0</v>
      </c>
      <c r="AU102" s="127">
        <f t="shared" si="374"/>
        <v>0</v>
      </c>
      <c r="AV102" s="127">
        <f t="shared" si="374"/>
        <v>0</v>
      </c>
      <c r="AW102" s="127">
        <f t="shared" si="374"/>
        <v>0</v>
      </c>
      <c r="AX102" s="127">
        <f t="shared" si="374"/>
        <v>0</v>
      </c>
      <c r="AY102" s="127">
        <f t="shared" si="374"/>
        <v>0</v>
      </c>
      <c r="AZ102" s="127">
        <f t="shared" si="374"/>
        <v>0</v>
      </c>
      <c r="BA102" s="127">
        <f t="shared" si="374"/>
        <v>0</v>
      </c>
      <c r="BB102" s="127">
        <f t="shared" si="374"/>
        <v>0</v>
      </c>
      <c r="BC102" s="127">
        <f t="shared" si="374"/>
        <v>0</v>
      </c>
      <c r="BD102" s="127">
        <f t="shared" si="374"/>
        <v>0</v>
      </c>
      <c r="BE102" s="127">
        <f t="shared" si="374"/>
        <v>0</v>
      </c>
      <c r="BF102" s="127">
        <f t="shared" si="374"/>
        <v>0</v>
      </c>
      <c r="BG102" s="127">
        <f t="shared" si="374"/>
        <v>0</v>
      </c>
      <c r="BH102" s="127">
        <f t="shared" si="374"/>
        <v>0</v>
      </c>
    </row>
    <row r="103" spans="1:61" x14ac:dyDescent="0.2">
      <c r="A103" t="s">
        <v>662</v>
      </c>
      <c r="B103" s="31"/>
      <c r="C103" s="8">
        <f xml:space="preserve">  C100</f>
        <v>0</v>
      </c>
      <c r="D103" s="8">
        <f t="shared" ref="D103:AM103" si="375" xml:space="preserve">  D100</f>
        <v>0</v>
      </c>
      <c r="E103" s="8">
        <f t="shared" si="375"/>
        <v>0</v>
      </c>
      <c r="F103" s="8">
        <f t="shared" si="375"/>
        <v>0</v>
      </c>
      <c r="G103" s="8">
        <f t="shared" si="375"/>
        <v>0.33332155546192882</v>
      </c>
      <c r="H103" s="8">
        <f t="shared" si="375"/>
        <v>0.66664311092385764</v>
      </c>
      <c r="I103" s="8">
        <f t="shared" si="375"/>
        <v>1.0065613019246389</v>
      </c>
      <c r="J103" s="8">
        <f t="shared" si="375"/>
        <v>1.3464794929254202</v>
      </c>
      <c r="K103" s="8">
        <f t="shared" si="375"/>
        <v>1.6863976839262014</v>
      </c>
      <c r="L103" s="8">
        <f t="shared" si="375"/>
        <v>2.0329125104658354</v>
      </c>
      <c r="M103" s="8">
        <f t="shared" si="375"/>
        <v>2.3860239725443217</v>
      </c>
      <c r="N103" s="8">
        <f t="shared" si="375"/>
        <v>2.7325387990839549</v>
      </c>
      <c r="O103" s="8">
        <f t="shared" si="375"/>
        <v>3.0856502611624412</v>
      </c>
      <c r="P103" s="8">
        <f t="shared" si="375"/>
        <v>3.1120368033178512</v>
      </c>
      <c r="Q103" s="8">
        <f t="shared" si="375"/>
        <v>3.1384233454732611</v>
      </c>
      <c r="R103" s="8">
        <f t="shared" si="375"/>
        <v>3.1582132520898183</v>
      </c>
      <c r="S103" s="8">
        <f t="shared" si="375"/>
        <v>3.1845997942452282</v>
      </c>
      <c r="T103" s="8">
        <f t="shared" si="375"/>
        <v>3.2043897008617859</v>
      </c>
      <c r="U103" s="8">
        <f t="shared" si="375"/>
        <v>3.2307762430171953</v>
      </c>
      <c r="V103" s="8">
        <f t="shared" si="375"/>
        <v>3.2571627851726048</v>
      </c>
      <c r="W103" s="8">
        <f t="shared" si="375"/>
        <v>3.2835493273280147</v>
      </c>
      <c r="X103" s="8">
        <f t="shared" si="375"/>
        <v>3.3033392339445724</v>
      </c>
      <c r="Y103" s="8">
        <f t="shared" si="375"/>
        <v>3.3297257760999823</v>
      </c>
      <c r="Z103" s="8">
        <f t="shared" si="375"/>
        <v>3.3561123182553922</v>
      </c>
      <c r="AA103" s="8">
        <f t="shared" si="375"/>
        <v>3.3824988604108017</v>
      </c>
      <c r="AB103" s="8">
        <f t="shared" si="375"/>
        <v>3.4088854025662116</v>
      </c>
      <c r="AC103" s="8">
        <f t="shared" si="375"/>
        <v>3.4286753091827693</v>
      </c>
      <c r="AD103" s="8">
        <f t="shared" si="375"/>
        <v>3.4550618513381792</v>
      </c>
      <c r="AE103" s="8">
        <f t="shared" si="375"/>
        <v>3.4814483934935887</v>
      </c>
      <c r="AF103" s="8">
        <f t="shared" si="375"/>
        <v>3.5078349356489986</v>
      </c>
      <c r="AG103" s="8">
        <f t="shared" si="375"/>
        <v>3.5342214778044085</v>
      </c>
      <c r="AH103" s="8">
        <f t="shared" si="375"/>
        <v>3.560608019959818</v>
      </c>
      <c r="AI103" s="8">
        <f t="shared" si="375"/>
        <v>3.5869945621152284</v>
      </c>
      <c r="AJ103" s="8">
        <f t="shared" si="375"/>
        <v>3.6199777398094906</v>
      </c>
      <c r="AK103" s="8">
        <f t="shared" si="375"/>
        <v>3.6463642819649005</v>
      </c>
      <c r="AL103" s="8">
        <f t="shared" si="375"/>
        <v>3.67275082412031</v>
      </c>
      <c r="AM103" s="8">
        <f t="shared" si="375"/>
        <v>3.6991373662757199</v>
      </c>
      <c r="AN103" s="8">
        <f t="shared" ref="AN103:AP103" si="376" xml:space="preserve">  AN100</f>
        <v>3.7255239084311298</v>
      </c>
      <c r="AO103" s="8">
        <f t="shared" si="376"/>
        <v>3.758507086125392</v>
      </c>
      <c r="AP103" s="8">
        <f t="shared" si="376"/>
        <v>3.7848936282808019</v>
      </c>
      <c r="AQ103" s="8">
        <f t="shared" ref="AQ103:AS103" si="377" xml:space="preserve">  AQ100</f>
        <v>3.8112801704362118</v>
      </c>
      <c r="AR103" s="8">
        <f t="shared" si="377"/>
        <v>3.844263348130474</v>
      </c>
      <c r="AS103" s="8">
        <f t="shared" si="377"/>
        <v>3.8706498902858835</v>
      </c>
      <c r="AT103" s="8">
        <f t="shared" ref="AT103:AY103" si="378" xml:space="preserve">  AT100</f>
        <v>3.8970364324412934</v>
      </c>
      <c r="AU103" s="8">
        <f t="shared" si="378"/>
        <v>3.9300196101355556</v>
      </c>
      <c r="AV103" s="8">
        <f t="shared" si="378"/>
        <v>3.9564061522909655</v>
      </c>
      <c r="AW103" s="8">
        <f t="shared" si="378"/>
        <v>3.9893893299852277</v>
      </c>
      <c r="AX103" s="8">
        <f t="shared" si="378"/>
        <v>4.0223725076794903</v>
      </c>
      <c r="AY103" s="8">
        <f t="shared" si="378"/>
        <v>4.0487590498348993</v>
      </c>
      <c r="AZ103" s="8">
        <f t="shared" ref="AZ103:BE103" si="379" xml:space="preserve">  AZ100</f>
        <v>4.0817422275291619</v>
      </c>
      <c r="BA103" s="8">
        <f t="shared" si="379"/>
        <v>4.1081287696845719</v>
      </c>
      <c r="BB103" s="8">
        <f t="shared" si="379"/>
        <v>4.1411119473788345</v>
      </c>
      <c r="BC103" s="8">
        <f t="shared" si="379"/>
        <v>4.1740951250730962</v>
      </c>
      <c r="BD103" s="8">
        <f t="shared" si="379"/>
        <v>4.2070783027673588</v>
      </c>
      <c r="BE103" s="8">
        <f t="shared" si="379"/>
        <v>4.2334648449227688</v>
      </c>
      <c r="BF103" s="8">
        <f t="shared" ref="BF103:BG103" si="380" xml:space="preserve">  BF100</f>
        <v>4.2664480226170305</v>
      </c>
      <c r="BG103" s="8">
        <f t="shared" si="380"/>
        <v>4.2994312003112931</v>
      </c>
      <c r="BH103" s="8">
        <f t="shared" ref="BH103" si="381" xml:space="preserve">  BH100</f>
        <v>4.3324143780055548</v>
      </c>
    </row>
    <row r="104" spans="1:61" x14ac:dyDescent="0.2">
      <c r="A104" t="s">
        <v>521</v>
      </c>
      <c r="B104" s="31"/>
      <c r="C104">
        <v>0</v>
      </c>
      <c r="D104" s="8">
        <f xml:space="preserve"> SUM($C103:C103)</f>
        <v>0</v>
      </c>
      <c r="E104" s="8">
        <f xml:space="preserve"> SUM($C103:D103)</f>
        <v>0</v>
      </c>
      <c r="F104" s="8">
        <f xml:space="preserve"> SUM($C103:E103)</f>
        <v>0</v>
      </c>
      <c r="G104" s="8">
        <f xml:space="preserve"> SUM($C103:F103)</f>
        <v>0</v>
      </c>
      <c r="H104" s="8">
        <f xml:space="preserve"> SUM($C103:G103)</f>
        <v>0.33332155546192882</v>
      </c>
      <c r="I104" s="8">
        <f xml:space="preserve"> SUM($C103:H103)</f>
        <v>0.9999646663857864</v>
      </c>
      <c r="J104" s="8">
        <f xml:space="preserve"> SUM($C103:I103)</f>
        <v>2.0065259683104255</v>
      </c>
      <c r="K104" s="8">
        <f xml:space="preserve"> SUM($C103:J103)</f>
        <v>3.3530054612358455</v>
      </c>
      <c r="L104" s="8">
        <f xml:space="preserve"> SUM($C103:K103)</f>
        <v>5.0394031451620469</v>
      </c>
      <c r="M104" s="8">
        <f xml:space="preserve"> SUM($C103:L103)</f>
        <v>7.0723156556278823</v>
      </c>
      <c r="N104" s="8">
        <f xml:space="preserve"> SUM($C103:M103)</f>
        <v>9.4583396281722045</v>
      </c>
      <c r="O104" s="8">
        <f xml:space="preserve"> SUM($C103:N103)</f>
        <v>12.190878427256159</v>
      </c>
      <c r="P104" s="8">
        <f xml:space="preserve"> SUM($C103:O103)</f>
        <v>15.276528688418601</v>
      </c>
      <c r="Q104" s="8">
        <f xml:space="preserve"> SUM($C103:P103)</f>
        <v>18.38856549173645</v>
      </c>
      <c r="R104" s="8">
        <f xml:space="preserve"> SUM($C103:Q103)</f>
        <v>21.526988837209711</v>
      </c>
      <c r="S104" s="8">
        <f xml:space="preserve"> SUM($C103:R103)</f>
        <v>24.68520208929953</v>
      </c>
      <c r="T104" s="8">
        <f xml:space="preserve"> SUM($C103:S103)</f>
        <v>27.86980188354476</v>
      </c>
      <c r="U104" s="8">
        <f xml:space="preserve"> SUM($C103:T103)</f>
        <v>31.074191584406545</v>
      </c>
      <c r="V104" s="8">
        <f xml:space="preserve"> SUM($C103:U103)</f>
        <v>34.304967827423738</v>
      </c>
      <c r="W104" s="8">
        <f xml:space="preserve"> SUM($C103:V103)</f>
        <v>37.562130612596341</v>
      </c>
      <c r="X104" s="8">
        <f xml:space="preserve"> SUM($C103:W103)</f>
        <v>40.845679939924359</v>
      </c>
      <c r="Y104" s="8">
        <f xml:space="preserve"> SUM($C103:X103)</f>
        <v>44.149019173868929</v>
      </c>
      <c r="Z104" s="8">
        <f xml:space="preserve"> SUM($C103:Y103)</f>
        <v>47.478744949968913</v>
      </c>
      <c r="AA104" s="8">
        <f xml:space="preserve"> SUM($C103:Z103)</f>
        <v>50.834857268224305</v>
      </c>
      <c r="AB104" s="8">
        <f xml:space="preserve"> SUM($C103:AA103)</f>
        <v>54.217356128635103</v>
      </c>
      <c r="AC104" s="8">
        <f xml:space="preserve"> SUM($C103:AB103)</f>
        <v>57.626241531201316</v>
      </c>
      <c r="AD104" s="8">
        <f xml:space="preserve"> SUM($C103:AC103)</f>
        <v>61.054916840384088</v>
      </c>
      <c r="AE104" s="8">
        <f xml:space="preserve"> SUM($C103:AD103)</f>
        <v>64.509978691722267</v>
      </c>
      <c r="AF104" s="8">
        <f xml:space="preserve"> SUM($C103:AE103)</f>
        <v>67.991427085215861</v>
      </c>
      <c r="AG104" s="8">
        <f xml:space="preserve"> SUM($C103:AF103)</f>
        <v>71.499262020864862</v>
      </c>
      <c r="AH104" s="8">
        <f xml:space="preserve"> SUM($C103:AG103)</f>
        <v>75.03348349866927</v>
      </c>
      <c r="AI104" s="8">
        <f xml:space="preserve"> SUM($C103:AH103)</f>
        <v>78.594091518629085</v>
      </c>
      <c r="AJ104" s="8">
        <f xml:space="preserve"> SUM($C103:AI103)</f>
        <v>82.181086080744308</v>
      </c>
      <c r="AK104" s="8">
        <f xml:space="preserve"> SUM($C103:AJ103)</f>
        <v>85.801063820553793</v>
      </c>
      <c r="AL104" s="8">
        <f xml:space="preserve"> SUM($C103:AK103)</f>
        <v>89.4474281025187</v>
      </c>
      <c r="AM104" s="8">
        <f xml:space="preserve"> SUM($C103:AL103)</f>
        <v>93.120178926639014</v>
      </c>
      <c r="AN104" s="8">
        <f xml:space="preserve"> SUM($C103:AM103)</f>
        <v>96.819316292914735</v>
      </c>
      <c r="AO104" s="8">
        <f xml:space="preserve"> SUM($C103:AN103)</f>
        <v>100.54484020134586</v>
      </c>
      <c r="AP104" s="8">
        <f xml:space="preserve"> SUM($C103:AO103)</f>
        <v>104.30334728747125</v>
      </c>
      <c r="AQ104" s="8">
        <f xml:space="preserve"> SUM($C103:AP103)</f>
        <v>108.08824091575205</v>
      </c>
      <c r="AR104" s="8">
        <f xml:space="preserve"> SUM($C103:AQ103)</f>
        <v>111.89952108618826</v>
      </c>
      <c r="AS104" s="8">
        <f xml:space="preserve"> SUM($C103:AR103)</f>
        <v>115.74378443431873</v>
      </c>
      <c r="AT104" s="8">
        <f xml:space="preserve"> SUM($C103:AS103)</f>
        <v>119.61443432460462</v>
      </c>
      <c r="AU104" s="8">
        <f xml:space="preserve"> SUM($C103:AT103)</f>
        <v>123.51147075704591</v>
      </c>
      <c r="AV104" s="8">
        <f xml:space="preserve"> SUM($C103:AU103)</f>
        <v>127.44149036718147</v>
      </c>
      <c r="AW104" s="8">
        <f xml:space="preserve"> SUM($C103:AV103)</f>
        <v>131.39789651947243</v>
      </c>
      <c r="AX104" s="8">
        <f xml:space="preserve"> SUM($C103:AW103)</f>
        <v>135.38728584945764</v>
      </c>
      <c r="AY104" s="8">
        <f xml:space="preserve"> SUM($C103:AX103)</f>
        <v>139.40965835713712</v>
      </c>
      <c r="AZ104" s="8">
        <f xml:space="preserve"> SUM($C103:AY103)</f>
        <v>143.45841740697202</v>
      </c>
      <c r="BA104" s="8">
        <f xml:space="preserve"> SUM($C103:AZ103)</f>
        <v>147.54015963450118</v>
      </c>
      <c r="BB104" s="8">
        <f xml:space="preserve"> SUM($C103:BA103)</f>
        <v>151.64828840418576</v>
      </c>
      <c r="BC104" s="8">
        <f xml:space="preserve"> SUM($C103:BB103)</f>
        <v>155.78940035156461</v>
      </c>
      <c r="BD104" s="8">
        <f xml:space="preserve"> SUM($C103:BC103)</f>
        <v>159.96349547663772</v>
      </c>
      <c r="BE104" s="8">
        <f xml:space="preserve"> SUM($C103:BD103)</f>
        <v>164.17057377940509</v>
      </c>
      <c r="BF104" s="8">
        <f xml:space="preserve"> SUM($C103:BE103)</f>
        <v>168.40403862432785</v>
      </c>
      <c r="BG104" s="8">
        <f xml:space="preserve"> SUM($C103:BF103)</f>
        <v>172.67048664694488</v>
      </c>
      <c r="BH104" s="8">
        <f xml:space="preserve"> SUM($C103:BG103)</f>
        <v>176.96991784725617</v>
      </c>
      <c r="BI104" s="8"/>
    </row>
    <row r="105" spans="1:61" s="82" customFormat="1" x14ac:dyDescent="0.2">
      <c r="A105" s="82" t="s">
        <v>522</v>
      </c>
      <c r="B105" s="156"/>
      <c r="C105" s="83">
        <f>C103*'SGSP Summary'!$B$2</f>
        <v>0</v>
      </c>
      <c r="D105" s="83">
        <f>D103*'SGSP Summary'!$B$2</f>
        <v>0</v>
      </c>
      <c r="E105" s="83">
        <f>E103*'SGSP Summary'!$B$2</f>
        <v>0</v>
      </c>
      <c r="F105" s="83">
        <f>F103*'SGSP Summary'!$B$2</f>
        <v>0</v>
      </c>
      <c r="G105" s="83">
        <f>G103*'SGSP Summary'!$B$2</f>
        <v>35319441.591700815</v>
      </c>
      <c r="H105" s="83">
        <f>H103*'SGSP Summary'!$B$2</f>
        <v>70638883.183401629</v>
      </c>
      <c r="I105" s="83">
        <f>I103*'SGSP Summary'!$B$2</f>
        <v>106657317.92390542</v>
      </c>
      <c r="J105" s="83">
        <f>J103*'SGSP Summary'!$B$2</f>
        <v>142675752.66440919</v>
      </c>
      <c r="K105" s="83">
        <f>K103*'SGSP Summary'!$B$2</f>
        <v>178694187.40491298</v>
      </c>
      <c r="L105" s="83">
        <f>L103*'SGSP Summary'!$B$2</f>
        <v>215411615.29421976</v>
      </c>
      <c r="M105" s="83">
        <f>M103*'SGSP Summary'!$B$2</f>
        <v>252828036.33232948</v>
      </c>
      <c r="N105" s="83">
        <f>N103*'SGSP Summary'!$B$2</f>
        <v>289545464.22163618</v>
      </c>
      <c r="O105" s="83">
        <f>O103*'SGSP Summary'!$B$2</f>
        <v>326961885.25974596</v>
      </c>
      <c r="P105" s="83">
        <f>P103*'SGSP Summary'!$B$2</f>
        <v>329757857.85495782</v>
      </c>
      <c r="Q105" s="83">
        <f>Q103*'SGSP Summary'!$B$2</f>
        <v>332553830.45016968</v>
      </c>
      <c r="R105" s="83">
        <f>R103*'SGSP Summary'!$B$2</f>
        <v>334650809.89657861</v>
      </c>
      <c r="S105" s="83">
        <f>S103*'SGSP Summary'!$B$2</f>
        <v>337446782.49179047</v>
      </c>
      <c r="T105" s="83">
        <f>T103*'SGSP Summary'!$B$2</f>
        <v>339543761.9381994</v>
      </c>
      <c r="U105" s="83">
        <f>U103*'SGSP Summary'!$B$2</f>
        <v>342339734.53341126</v>
      </c>
      <c r="V105" s="83">
        <f>V103*'SGSP Summary'!$B$2</f>
        <v>345135707.12862307</v>
      </c>
      <c r="W105" s="83">
        <f>W103*'SGSP Summary'!$B$2</f>
        <v>347931679.72383499</v>
      </c>
      <c r="X105" s="83">
        <f>X103*'SGSP Summary'!$B$2</f>
        <v>350028659.17024392</v>
      </c>
      <c r="Y105" s="83">
        <f>Y103*'SGSP Summary'!$B$2</f>
        <v>352824631.76545578</v>
      </c>
      <c r="Z105" s="83">
        <f>Z103*'SGSP Summary'!$B$2</f>
        <v>355620604.36066771</v>
      </c>
      <c r="AA105" s="83">
        <f>AA103*'SGSP Summary'!$B$2</f>
        <v>358416576.95587951</v>
      </c>
      <c r="AB105" s="83">
        <f>AB103*'SGSP Summary'!$B$2</f>
        <v>361212549.55109143</v>
      </c>
      <c r="AC105" s="83">
        <f>AC103*'SGSP Summary'!$B$2</f>
        <v>363309528.99750036</v>
      </c>
      <c r="AD105" s="83">
        <f>AD103*'SGSP Summary'!$B$2</f>
        <v>366105501.59271222</v>
      </c>
      <c r="AE105" s="83">
        <f>AE103*'SGSP Summary'!$B$2</f>
        <v>368901474.18792409</v>
      </c>
      <c r="AF105" s="83">
        <f>AF103*'SGSP Summary'!$B$2</f>
        <v>371697446.78313595</v>
      </c>
      <c r="AG105" s="83">
        <f>AG103*'SGSP Summary'!$B$2</f>
        <v>374493419.37834787</v>
      </c>
      <c r="AH105" s="83">
        <f>AH103*'SGSP Summary'!$B$2</f>
        <v>377289391.97355968</v>
      </c>
      <c r="AI105" s="83">
        <f>AI103*'SGSP Summary'!$B$2</f>
        <v>380085364.56877166</v>
      </c>
      <c r="AJ105" s="83">
        <f>AJ103*'SGSP Summary'!$B$2</f>
        <v>383580330.31278646</v>
      </c>
      <c r="AK105" s="83">
        <f>AK103*'SGSP Summary'!$B$2</f>
        <v>386376302.90799838</v>
      </c>
      <c r="AL105" s="83">
        <f>AL103*'SGSP Summary'!$B$2</f>
        <v>389172275.50321019</v>
      </c>
      <c r="AM105" s="83">
        <f>AM103*'SGSP Summary'!$B$2</f>
        <v>391968248.09842211</v>
      </c>
      <c r="AN105" s="83">
        <f>AN103*'SGSP Summary'!$B$2</f>
        <v>394764220.69363397</v>
      </c>
      <c r="AO105" s="83">
        <f>AO103*'SGSP Summary'!$B$2</f>
        <v>398259186.43764883</v>
      </c>
      <c r="AP105" s="83">
        <f>AP103*'SGSP Summary'!$B$2</f>
        <v>401055159.0328607</v>
      </c>
      <c r="AQ105" s="83">
        <f>AQ103*'SGSP Summary'!$B$2</f>
        <v>403851131.62807256</v>
      </c>
      <c r="AR105" s="83">
        <f>AR103*'SGSP Summary'!$B$2</f>
        <v>407346097.37208742</v>
      </c>
      <c r="AS105" s="83">
        <f>AS103*'SGSP Summary'!$B$2</f>
        <v>410142069.96729928</v>
      </c>
      <c r="AT105" s="83">
        <f>AT103*'SGSP Summary'!$B$2</f>
        <v>412938042.56251115</v>
      </c>
      <c r="AU105" s="83">
        <f>AU103*'SGSP Summary'!$B$2</f>
        <v>416433008.30652601</v>
      </c>
      <c r="AV105" s="83">
        <f>AV103*'SGSP Summary'!$B$2</f>
        <v>419228980.90173787</v>
      </c>
      <c r="AW105" s="83">
        <f>AW103*'SGSP Summary'!$B$2</f>
        <v>422723946.64575267</v>
      </c>
      <c r="AX105" s="83">
        <f>AX103*'SGSP Summary'!$B$2</f>
        <v>426218912.38976759</v>
      </c>
      <c r="AY105" s="83">
        <f>AY103*'SGSP Summary'!$B$2</f>
        <v>429014884.98497939</v>
      </c>
      <c r="AZ105" s="83">
        <f>AZ103*'SGSP Summary'!$B$2</f>
        <v>432509850.72899425</v>
      </c>
      <c r="BA105" s="83">
        <f>BA103*'SGSP Summary'!$B$2</f>
        <v>435305823.32420611</v>
      </c>
      <c r="BB105" s="83">
        <f>BB103*'SGSP Summary'!$B$2</f>
        <v>438800789.06822103</v>
      </c>
      <c r="BC105" s="83">
        <f>BC103*'SGSP Summary'!$B$2</f>
        <v>442295754.81223583</v>
      </c>
      <c r="BD105" s="83">
        <f>BD103*'SGSP Summary'!$B$2</f>
        <v>445790720.55625069</v>
      </c>
      <c r="BE105" s="83">
        <f>BE103*'SGSP Summary'!$B$2</f>
        <v>448586693.15146255</v>
      </c>
      <c r="BF105" s="83">
        <f>BF103*'SGSP Summary'!$B$2</f>
        <v>452081658.89547735</v>
      </c>
      <c r="BG105" s="83">
        <f>BG103*'SGSP Summary'!$B$2</f>
        <v>455576624.63949227</v>
      </c>
      <c r="BH105" s="83">
        <f>BH103*'SGSP Summary'!$B$2</f>
        <v>459071590.38350701</v>
      </c>
      <c r="BI105" s="83"/>
    </row>
    <row r="106" spans="1:61" s="82" customFormat="1" x14ac:dyDescent="0.2">
      <c r="A106" s="82" t="s">
        <v>523</v>
      </c>
      <c r="B106" s="156"/>
      <c r="C106" s="83">
        <f>C104*'SGSP Summary'!$B$9</f>
        <v>0</v>
      </c>
      <c r="D106" s="83">
        <f>D104*'SGSP Summary'!$B$9</f>
        <v>0</v>
      </c>
      <c r="E106" s="83">
        <f>E104*'SGSP Summary'!$B$9</f>
        <v>0</v>
      </c>
      <c r="F106" s="83">
        <f>F104*'SGSP Summary'!$B$9</f>
        <v>0</v>
      </c>
      <c r="G106" s="83">
        <f>G104*'SGSP Summary'!$B$9</f>
        <v>0</v>
      </c>
      <c r="H106" s="83">
        <f>H104*'SGSP Summary'!$B$9</f>
        <v>824032.0929202534</v>
      </c>
      <c r="I106" s="83">
        <f>I104*'SGSP Summary'!$B$9</f>
        <v>2472096.2787607601</v>
      </c>
      <c r="J106" s="83">
        <f>J104*'SGSP Summary'!$B$9</f>
        <v>4960500.6519133747</v>
      </c>
      <c r="K106" s="83">
        <f>K104*'SGSP Summary'!$B$9</f>
        <v>8289245.2123780958</v>
      </c>
      <c r="L106" s="83">
        <f>L104*'SGSP Summary'!$B$9</f>
        <v>12458329.960154925</v>
      </c>
      <c r="M106" s="83">
        <f>M104*'SGSP Summary'!$B$9</f>
        <v>17484062.989635717</v>
      </c>
      <c r="N106" s="83">
        <f>N104*'SGSP Summary'!$B$9</f>
        <v>23382752.395212322</v>
      </c>
      <c r="O106" s="83">
        <f>O104*'SGSP Summary'!$B$9</f>
        <v>30138090.082492888</v>
      </c>
      <c r="P106" s="83">
        <f>P104*'SGSP Summary'!$B$9</f>
        <v>37766384.14586927</v>
      </c>
      <c r="Q106" s="83">
        <f>Q104*'SGSP Summary'!$B$9</f>
        <v>45459910.586813062</v>
      </c>
      <c r="R106" s="83">
        <f>R104*'SGSP Summary'!$B$9</f>
        <v>53218669.40532428</v>
      </c>
      <c r="S106" s="83">
        <f>S104*'SGSP Summary'!$B$9</f>
        <v>61026352.507011056</v>
      </c>
      <c r="T106" s="83">
        <f>T104*'SGSP Summary'!$B$9</f>
        <v>68899267.986265257</v>
      </c>
      <c r="U106" s="83">
        <f>U104*'SGSP Summary'!$B$9</f>
        <v>76821107.748695001</v>
      </c>
      <c r="V106" s="83">
        <f>V104*'SGSP Summary'!$B$9</f>
        <v>84808179.88869217</v>
      </c>
      <c r="W106" s="83">
        <f>W104*'SGSP Summary'!$B$9</f>
        <v>92860484.40625675</v>
      </c>
      <c r="X106" s="83">
        <f>X104*'SGSP Summary'!$B$9</f>
        <v>100978021.30138876</v>
      </c>
      <c r="Y106" s="83">
        <f>Y104*'SGSP Summary'!$B$9</f>
        <v>109144482.4796963</v>
      </c>
      <c r="Z106" s="83">
        <f>Z104*'SGSP Summary'!$B$9</f>
        <v>117376176.03557129</v>
      </c>
      <c r="AA106" s="83">
        <f>AA104*'SGSP Summary'!$B$9</f>
        <v>125673101.96901369</v>
      </c>
      <c r="AB106" s="83">
        <f>AB104*'SGSP Summary'!$B$9</f>
        <v>134035260.28002349</v>
      </c>
      <c r="AC106" s="83">
        <f>AC104*'SGSP Summary'!$B$9</f>
        <v>142462650.96860072</v>
      </c>
      <c r="AD106" s="83">
        <f>AD104*'SGSP Summary'!$B$9</f>
        <v>150938965.94035351</v>
      </c>
      <c r="AE106" s="83">
        <f>AE104*'SGSP Summary'!$B$9</f>
        <v>159480513.28967372</v>
      </c>
      <c r="AF106" s="83">
        <f>AF104*'SGSP Summary'!$B$9</f>
        <v>168087293.01656133</v>
      </c>
      <c r="AG106" s="83">
        <f>AG104*'SGSP Summary'!$B$9</f>
        <v>176759305.12101638</v>
      </c>
      <c r="AH106" s="83">
        <f>AH104*'SGSP Summary'!$B$9</f>
        <v>185496549.60303882</v>
      </c>
      <c r="AI106" s="83">
        <f>AI104*'SGSP Summary'!$B$9</f>
        <v>194299026.46262869</v>
      </c>
      <c r="AJ106" s="83">
        <f>AJ104*'SGSP Summary'!$B$9</f>
        <v>203166735.69978595</v>
      </c>
      <c r="AK106" s="83">
        <f>AK104*'SGSP Summary'!$B$9</f>
        <v>212115985.4089025</v>
      </c>
      <c r="AL106" s="83">
        <f>AL104*'SGSP Summary'!$B$9</f>
        <v>221130467.49558648</v>
      </c>
      <c r="AM106" s="83">
        <f>AM104*'SGSP Summary'!$B$9</f>
        <v>230210181.95983788</v>
      </c>
      <c r="AN106" s="83">
        <f>AN104*'SGSP Summary'!$B$9</f>
        <v>239355128.80165666</v>
      </c>
      <c r="AO106" s="83">
        <f>AO104*'SGSP Summary'!$B$9</f>
        <v>248565308.02104288</v>
      </c>
      <c r="AP106" s="83">
        <f>AP104*'SGSP Summary'!$B$9</f>
        <v>257857027.71238837</v>
      </c>
      <c r="AQ106" s="83">
        <f>AQ104*'SGSP Summary'!$B$9</f>
        <v>267213979.78130126</v>
      </c>
      <c r="AR106" s="83">
        <f>AR104*'SGSP Summary'!$B$9</f>
        <v>276636164.22778153</v>
      </c>
      <c r="AS106" s="83">
        <f>AS104*'SGSP Summary'!$B$9</f>
        <v>286139889.14622116</v>
      </c>
      <c r="AT106" s="83">
        <f>AT104*'SGSP Summary'!$B$9</f>
        <v>295708846.44222814</v>
      </c>
      <c r="AU106" s="83">
        <f>AU104*'SGSP Summary'!$B$9</f>
        <v>305343036.11580259</v>
      </c>
      <c r="AV106" s="83">
        <f>AV104*'SGSP Summary'!$B$9</f>
        <v>315058766.26133627</v>
      </c>
      <c r="AW106" s="83">
        <f>AW104*'SGSP Summary'!$B$9</f>
        <v>324839728.78443736</v>
      </c>
      <c r="AX106" s="83">
        <f>AX104*'SGSP Summary'!$B$9</f>
        <v>334702231.77949768</v>
      </c>
      <c r="AY106" s="83">
        <f>AY104*'SGSP Summary'!$B$9</f>
        <v>344646275.2465173</v>
      </c>
      <c r="AZ106" s="83">
        <f>AZ104*'SGSP Summary'!$B$9</f>
        <v>354655551.09110433</v>
      </c>
      <c r="BA106" s="83">
        <f>BA104*'SGSP Summary'!$B$9</f>
        <v>364746367.40765065</v>
      </c>
      <c r="BB106" s="83">
        <f>BB104*'SGSP Summary'!$B$9</f>
        <v>374902416.10176444</v>
      </c>
      <c r="BC106" s="83">
        <f>BC104*'SGSP Summary'!$B$9</f>
        <v>385140005.26783746</v>
      </c>
      <c r="BD106" s="83">
        <f>BD104*'SGSP Summary'!$B$9</f>
        <v>395459134.90586978</v>
      </c>
      <c r="BE106" s="83">
        <f>BE104*'SGSP Summary'!$B$9</f>
        <v>405859805.01586139</v>
      </c>
      <c r="BF106" s="83">
        <f>BF104*'SGSP Summary'!$B$9</f>
        <v>416325707.50342035</v>
      </c>
      <c r="BG106" s="83">
        <f>BG104*'SGSP Summary'!$B$9</f>
        <v>426873150.46293855</v>
      </c>
      <c r="BH106" s="83">
        <f>BH104*'SGSP Summary'!$B$9</f>
        <v>437502133.89441603</v>
      </c>
      <c r="BI106" s="83"/>
    </row>
    <row r="107" spans="1:61" x14ac:dyDescent="0.2">
      <c r="A107" t="s">
        <v>524</v>
      </c>
      <c r="B107" s="31"/>
      <c r="C107" s="5">
        <f>C104*'SGSP Summary'!$B$4</f>
        <v>0</v>
      </c>
      <c r="D107" s="5">
        <f>D104*'SGSP Summary'!$B$4</f>
        <v>0</v>
      </c>
      <c r="E107" s="5">
        <f>E104*'SGSP Summary'!$B$4</f>
        <v>0</v>
      </c>
      <c r="F107" s="5">
        <f>F104*'SGSP Summary'!$B$4</f>
        <v>0</v>
      </c>
      <c r="G107" s="5">
        <f>G104*'SGSP Summary'!$B$4</f>
        <v>0</v>
      </c>
      <c r="H107" s="5">
        <f>H104*'SGSP Summary'!$B$4</f>
        <v>27377.536618501919</v>
      </c>
      <c r="I107" s="5">
        <f>I104*'SGSP Summary'!$B$4</f>
        <v>82132.609855505754</v>
      </c>
      <c r="J107" s="5">
        <f>J104*'SGSP Summary'!$B$4</f>
        <v>164807.03774847259</v>
      </c>
      <c r="K107" s="5">
        <f>K104*'SGSP Summary'!$B$4</f>
        <v>275400.82029740233</v>
      </c>
      <c r="L107" s="5">
        <f>L104*'SGSP Summary'!$B$4</f>
        <v>413913.95750229503</v>
      </c>
      <c r="M107" s="5">
        <f>M104*'SGSP Summary'!$B$4</f>
        <v>580888.26740061177</v>
      </c>
      <c r="N107" s="5">
        <f>N104*'SGSP Summary'!$B$4</f>
        <v>776865.5680298137</v>
      </c>
      <c r="O107" s="5">
        <f>O104*'SGSP Summary'!$B$4</f>
        <v>1001304.0413524394</v>
      </c>
      <c r="P107" s="5">
        <f>P104*'SGSP Summary'!$B$4</f>
        <v>1254745.5054059504</v>
      </c>
      <c r="Q107" s="5">
        <f>Q104*'SGSP Summary'!$B$4</f>
        <v>1510354.2416093051</v>
      </c>
      <c r="R107" s="5">
        <f>R104*'SGSP Summary'!$B$4</f>
        <v>1768130.2499625043</v>
      </c>
      <c r="S107" s="5">
        <f>S104*'SGSP Summary'!$B$4</f>
        <v>2027531.7124280867</v>
      </c>
      <c r="T107" s="5">
        <f>T104*'SGSP Summary'!$B$4</f>
        <v>2289100.4470435134</v>
      </c>
      <c r="U107" s="5">
        <f>U104*'SGSP Summary'!$B$4</f>
        <v>2552294.635771323</v>
      </c>
      <c r="V107" s="5">
        <f>V104*'SGSP Summary'!$B$4</f>
        <v>2817656.0966489767</v>
      </c>
      <c r="W107" s="5">
        <f>W104*'SGSP Summary'!$B$4</f>
        <v>3085184.8296764744</v>
      </c>
      <c r="X107" s="5">
        <f>X104*'SGSP Summary'!$B$4</f>
        <v>3354880.8348538168</v>
      </c>
      <c r="Y107" s="5">
        <f>Y104*'SGSP Summary'!$B$4</f>
        <v>3626202.2941435417</v>
      </c>
      <c r="Z107" s="5">
        <f>Z104*'SGSP Summary'!$B$4</f>
        <v>3899691.0255831112</v>
      </c>
      <c r="AA107" s="5">
        <f>AA104*'SGSP Summary'!$B$4</f>
        <v>4175347.0291725248</v>
      </c>
      <c r="AB107" s="5">
        <f>AB104*'SGSP Summary'!$B$4</f>
        <v>4453170.304911782</v>
      </c>
      <c r="AC107" s="5">
        <f>AC104*'SGSP Summary'!$B$4</f>
        <v>4733160.8528008843</v>
      </c>
      <c r="AD107" s="5">
        <f>AD104*'SGSP Summary'!$B$4</f>
        <v>5014776.8548023691</v>
      </c>
      <c r="AE107" s="5">
        <f>AE104*'SGSP Summary'!$B$4</f>
        <v>5298560.128953699</v>
      </c>
      <c r="AF107" s="5">
        <f>AF104*'SGSP Summary'!$B$4</f>
        <v>5584510.6752548721</v>
      </c>
      <c r="AG107" s="5">
        <f>AG104*'SGSP Summary'!$B$4</f>
        <v>5872628.4937058901</v>
      </c>
      <c r="AH107" s="5">
        <f>AH104*'SGSP Summary'!$B$4</f>
        <v>6162913.5843067523</v>
      </c>
      <c r="AI107" s="5">
        <f>AI104*'SGSP Summary'!$B$4</f>
        <v>6455365.9470574576</v>
      </c>
      <c r="AJ107" s="5">
        <f>AJ104*'SGSP Summary'!$B$4</f>
        <v>6749985.5819580071</v>
      </c>
      <c r="AK107" s="5">
        <f>AK104*'SGSP Summary'!$B$4</f>
        <v>7047314.3070458621</v>
      </c>
      <c r="AL107" s="5">
        <f>AL104*'SGSP Summary'!$B$4</f>
        <v>7346810.3042835621</v>
      </c>
      <c r="AM107" s="5">
        <f>AM104*'SGSP Summary'!$B$4</f>
        <v>7648473.5736711062</v>
      </c>
      <c r="AN107" s="5">
        <f>AN104*'SGSP Summary'!$B$4</f>
        <v>7952304.1152084935</v>
      </c>
      <c r="AO107" s="5">
        <f>AO104*'SGSP Summary'!$B$4</f>
        <v>8258301.9288957259</v>
      </c>
      <c r="AP107" s="5">
        <f>AP104*'SGSP Summary'!$B$4</f>
        <v>8567008.8327702638</v>
      </c>
      <c r="AQ107" s="5">
        <f>AQ104*'SGSP Summary'!$B$4</f>
        <v>8877883.0087946448</v>
      </c>
      <c r="AR107" s="5">
        <f>AR104*'SGSP Summary'!$B$4</f>
        <v>9190924.4569688682</v>
      </c>
      <c r="AS107" s="5">
        <f>AS104*'SGSP Summary'!$B$4</f>
        <v>9506674.9953303989</v>
      </c>
      <c r="AT107" s="5">
        <f>AT104*'SGSP Summary'!$B$4</f>
        <v>9824592.8058417737</v>
      </c>
      <c r="AU107" s="5">
        <f>AU104*'SGSP Summary'!$B$4</f>
        <v>10144677.888502995</v>
      </c>
      <c r="AV107" s="5">
        <f>AV104*'SGSP Summary'!$B$4</f>
        <v>10467472.061351519</v>
      </c>
      <c r="AW107" s="5">
        <f>AW104*'SGSP Summary'!$B$4</f>
        <v>10792433.506349886</v>
      </c>
      <c r="AX107" s="5">
        <f>AX104*'SGSP Summary'!$B$4</f>
        <v>11120104.041535558</v>
      </c>
      <c r="AY107" s="5">
        <f>AY104*'SGSP Summary'!$B$4</f>
        <v>11450483.666908536</v>
      </c>
      <c r="AZ107" s="5">
        <f>AZ104*'SGSP Summary'!$B$4</f>
        <v>11783030.56443136</v>
      </c>
      <c r="BA107" s="5">
        <f>BA104*'SGSP Summary'!$B$4</f>
        <v>12118286.552141488</v>
      </c>
      <c r="BB107" s="5">
        <f>BB104*'SGSP Summary'!$B$4</f>
        <v>12455709.812001461</v>
      </c>
      <c r="BC107" s="5">
        <f>BC104*'SGSP Summary'!$B$4</f>
        <v>12795842.16204874</v>
      </c>
      <c r="BD107" s="5">
        <f>BD104*'SGSP Summary'!$B$4</f>
        <v>13138683.602283323</v>
      </c>
      <c r="BE107" s="5">
        <f>BE104*'SGSP Summary'!$B$4</f>
        <v>13484234.132705212</v>
      </c>
      <c r="BF107" s="5">
        <f>BF104*'SGSP Summary'!$B$4</f>
        <v>13831951.935276944</v>
      </c>
      <c r="BG107" s="5">
        <f>BG104*'SGSP Summary'!$B$4</f>
        <v>14182378.828035982</v>
      </c>
      <c r="BH107" s="5">
        <f>BH104*'SGSP Summary'!$B$4</f>
        <v>14535514.810982324</v>
      </c>
      <c r="BI107" s="5"/>
    </row>
    <row r="108" spans="1:61" x14ac:dyDescent="0.2">
      <c r="A108" t="s">
        <v>666</v>
      </c>
      <c r="B108" s="31"/>
      <c r="C108" s="5">
        <f>C104*'SGSP Summary'!$B$3</f>
        <v>0</v>
      </c>
      <c r="D108" s="5">
        <f>D104*'SGSP Summary'!$B$3</f>
        <v>0</v>
      </c>
      <c r="E108" s="5">
        <f>E104*'SGSP Summary'!$B$3</f>
        <v>0</v>
      </c>
      <c r="F108" s="5">
        <f>F104*'SGSP Summary'!$B$3</f>
        <v>0</v>
      </c>
      <c r="G108" s="5">
        <f>G104*'SGSP Summary'!$B$3</f>
        <v>0</v>
      </c>
      <c r="H108" s="5">
        <f>H104*'SGSP Summary'!$B$3</f>
        <v>3.1252895683221373</v>
      </c>
      <c r="I108" s="5">
        <f>I104*'SGSP Summary'!$B$3</f>
        <v>9.3758687049664111</v>
      </c>
      <c r="J108" s="5">
        <f>J104*'SGSP Summary'!$B$3</f>
        <v>18.813588784072213</v>
      </c>
      <c r="K108" s="5">
        <f>K104*'SGSP Summary'!$B$3</f>
        <v>31.438449805639536</v>
      </c>
      <c r="L108" s="5">
        <f>L104*'SGSP Summary'!$B$3</f>
        <v>47.250451769668388</v>
      </c>
      <c r="M108" s="5">
        <f>M104*'SGSP Summary'!$B$3</f>
        <v>66.311446050298159</v>
      </c>
      <c r="N108" s="5">
        <f>N104*'SGSP Summary'!$B$3</f>
        <v>88.683284021668229</v>
      </c>
      <c r="O108" s="5">
        <f>O104*'SGSP Summary'!$B$3</f>
        <v>114.3041143096392</v>
      </c>
      <c r="P108" s="5">
        <f>P104*'SGSP Summary'!$B$3</f>
        <v>143.23578828835051</v>
      </c>
      <c r="Q108" s="5">
        <f>Q104*'SGSP Summary'!$B$3</f>
        <v>172.41486776361933</v>
      </c>
      <c r="R108" s="5">
        <f>R104*'SGSP Summary'!$B$3</f>
        <v>201.8413527354457</v>
      </c>
      <c r="S108" s="5">
        <f>S104*'SGSP Summary'!$B$3</f>
        <v>231.45339182969028</v>
      </c>
      <c r="T108" s="5">
        <f>T104*'SGSP Summary'!$B$3</f>
        <v>261.31283642049237</v>
      </c>
      <c r="U108" s="5">
        <f>U104*'SGSP Summary'!$B$3</f>
        <v>291.35783513371268</v>
      </c>
      <c r="V108" s="5">
        <f>V104*'SGSP Summary'!$B$3</f>
        <v>321.65023934349045</v>
      </c>
      <c r="W108" s="5">
        <f>W104*'SGSP Summary'!$B$3</f>
        <v>352.19004904982586</v>
      </c>
      <c r="X108" s="5">
        <f>X104*'SGSP Summary'!$B$3</f>
        <v>382.97726425271878</v>
      </c>
      <c r="Y108" s="5">
        <f>Y104*'SGSP Summary'!$B$3</f>
        <v>413.95003357802989</v>
      </c>
      <c r="Z108" s="5">
        <f>Z104*'SGSP Summary'!$B$3</f>
        <v>445.17020839989857</v>
      </c>
      <c r="AA108" s="5">
        <f>AA104*'SGSP Summary'!$B$3</f>
        <v>476.63778871832477</v>
      </c>
      <c r="AB108" s="5">
        <f>AB104*'SGSP Summary'!$B$3</f>
        <v>508.35277453330849</v>
      </c>
      <c r="AC108" s="5">
        <f>AC104*'SGSP Summary'!$B$3</f>
        <v>540.31516584484984</v>
      </c>
      <c r="AD108" s="5">
        <f>AD104*'SGSP Summary'!$B$3</f>
        <v>572.46311127880938</v>
      </c>
      <c r="AE108" s="5">
        <f>AE104*'SGSP Summary'!$B$3</f>
        <v>604.85846220932638</v>
      </c>
      <c r="AF108" s="5">
        <f>AF104*'SGSP Summary'!$B$3</f>
        <v>637.50121863640095</v>
      </c>
      <c r="AG108" s="5">
        <f>AG104*'SGSP Summary'!$B$3</f>
        <v>670.39138056003321</v>
      </c>
      <c r="AH108" s="5">
        <f>AH104*'SGSP Summary'!$B$3</f>
        <v>703.52894798022282</v>
      </c>
      <c r="AI108" s="5">
        <f>AI104*'SGSP Summary'!$B$3</f>
        <v>736.91392089697013</v>
      </c>
      <c r="AJ108" s="5">
        <f>AJ104*'SGSP Summary'!$B$3</f>
        <v>770.54629931027489</v>
      </c>
      <c r="AK108" s="5">
        <f>AK104*'SGSP Summary'!$B$3</f>
        <v>804.48793459427657</v>
      </c>
      <c r="AL108" s="5">
        <f>AL104*'SGSP Summary'!$B$3</f>
        <v>838.67697537483593</v>
      </c>
      <c r="AM108" s="5">
        <f>AM104*'SGSP Summary'!$B$3</f>
        <v>873.11342165195276</v>
      </c>
      <c r="AN108" s="5">
        <f>AN104*'SGSP Summary'!$B$3</f>
        <v>907.79727342562717</v>
      </c>
      <c r="AO108" s="5">
        <f>AO104*'SGSP Summary'!$B$3</f>
        <v>942.72853069585915</v>
      </c>
      <c r="AP108" s="5">
        <f>AP104*'SGSP Summary'!$B$3</f>
        <v>977.96904483678804</v>
      </c>
      <c r="AQ108" s="5">
        <f>AQ104*'SGSP Summary'!$B$3</f>
        <v>1013.4569644742745</v>
      </c>
      <c r="AR108" s="5">
        <f>AR104*'SGSP Summary'!$B$3</f>
        <v>1049.1922896083183</v>
      </c>
      <c r="AS108" s="5">
        <f>AS104*'SGSP Summary'!$B$3</f>
        <v>1085.2368716130593</v>
      </c>
      <c r="AT108" s="5">
        <f>AT104*'SGSP Summary'!$B$3</f>
        <v>1121.5288591143578</v>
      </c>
      <c r="AU108" s="5">
        <f>AU104*'SGSP Summary'!$B$3</f>
        <v>1158.0682521122139</v>
      </c>
      <c r="AV108" s="5">
        <f>AV104*'SGSP Summary'!$B$3</f>
        <v>1194.9169019807671</v>
      </c>
      <c r="AW108" s="5">
        <f>AW104*'SGSP Summary'!$B$3</f>
        <v>1232.0129573458776</v>
      </c>
      <c r="AX108" s="5">
        <f>AX104*'SGSP Summary'!$B$3</f>
        <v>1269.4182695816849</v>
      </c>
      <c r="AY108" s="5">
        <f>AY104*'SGSP Summary'!$B$3</f>
        <v>1307.1328386881892</v>
      </c>
      <c r="AZ108" s="5">
        <f>AZ104*'SGSP Summary'!$B$3</f>
        <v>1345.0948132912511</v>
      </c>
      <c r="BA108" s="5">
        <f>BA104*'SGSP Summary'!$B$3</f>
        <v>1383.36604476501</v>
      </c>
      <c r="BB108" s="5">
        <f>BB104*'SGSP Summary'!$B$3</f>
        <v>1421.8846817353267</v>
      </c>
      <c r="BC108" s="5">
        <f>BC104*'SGSP Summary'!$B$3</f>
        <v>1460.7125755763402</v>
      </c>
      <c r="BD108" s="5">
        <f>BD104*'SGSP Summary'!$B$3</f>
        <v>1499.8497262880508</v>
      </c>
      <c r="BE108" s="5">
        <f>BE104*'SGSP Summary'!$B$3</f>
        <v>1539.2961338704581</v>
      </c>
      <c r="BF108" s="5">
        <f>BF104*'SGSP Summary'!$B$3</f>
        <v>1578.989946949423</v>
      </c>
      <c r="BG108" s="5">
        <f>BG104*'SGSP Summary'!$B$3</f>
        <v>1618.9930168990848</v>
      </c>
      <c r="BH108" s="5">
        <f>BH104*'SGSP Summary'!$B$3</f>
        <v>1659.3053437194435</v>
      </c>
      <c r="BI108" s="5"/>
    </row>
    <row r="109" spans="1:61" x14ac:dyDescent="0.2">
      <c r="A109" t="s">
        <v>703</v>
      </c>
      <c r="B109" s="31"/>
      <c r="C109" s="5">
        <v>0</v>
      </c>
      <c r="D109" s="5">
        <f xml:space="preserve"> D108-C108</f>
        <v>0</v>
      </c>
      <c r="E109" s="5">
        <f t="shared" ref="E109:AO109" si="382" xml:space="preserve"> E108-D108</f>
        <v>0</v>
      </c>
      <c r="F109" s="5">
        <f t="shared" si="382"/>
        <v>0</v>
      </c>
      <c r="G109" s="5">
        <f t="shared" si="382"/>
        <v>0</v>
      </c>
      <c r="H109" s="5">
        <f t="shared" si="382"/>
        <v>3.1252895683221373</v>
      </c>
      <c r="I109" s="5">
        <f t="shared" si="382"/>
        <v>6.2505791366442738</v>
      </c>
      <c r="J109" s="5">
        <f t="shared" si="382"/>
        <v>9.4377200791058016</v>
      </c>
      <c r="K109" s="5">
        <f t="shared" si="382"/>
        <v>12.624861021567323</v>
      </c>
      <c r="L109" s="5">
        <f t="shared" si="382"/>
        <v>15.812001964028852</v>
      </c>
      <c r="M109" s="5">
        <f t="shared" si="382"/>
        <v>19.060994280629771</v>
      </c>
      <c r="N109" s="5">
        <f t="shared" si="382"/>
        <v>22.37183797137007</v>
      </c>
      <c r="O109" s="5">
        <f t="shared" si="382"/>
        <v>25.620830287970975</v>
      </c>
      <c r="P109" s="5">
        <f t="shared" si="382"/>
        <v>28.931673978711302</v>
      </c>
      <c r="Q109" s="5">
        <f t="shared" si="382"/>
        <v>29.179079475268821</v>
      </c>
      <c r="R109" s="5">
        <f t="shared" si="382"/>
        <v>29.426484971826369</v>
      </c>
      <c r="S109" s="5">
        <f t="shared" si="382"/>
        <v>29.612039094244579</v>
      </c>
      <c r="T109" s="5">
        <f t="shared" si="382"/>
        <v>29.859444590802099</v>
      </c>
      <c r="U109" s="5">
        <f t="shared" si="382"/>
        <v>30.044998713220309</v>
      </c>
      <c r="V109" s="5">
        <f t="shared" si="382"/>
        <v>30.292404209777771</v>
      </c>
      <c r="W109" s="5">
        <f t="shared" si="382"/>
        <v>30.539809706335404</v>
      </c>
      <c r="X109" s="5">
        <f t="shared" si="382"/>
        <v>30.787215202892924</v>
      </c>
      <c r="Y109" s="5">
        <f t="shared" si="382"/>
        <v>30.972769325311106</v>
      </c>
      <c r="Z109" s="5">
        <f t="shared" si="382"/>
        <v>31.220174821868682</v>
      </c>
      <c r="AA109" s="5">
        <f t="shared" si="382"/>
        <v>31.467580318426201</v>
      </c>
      <c r="AB109" s="5">
        <f t="shared" si="382"/>
        <v>31.71498581498372</v>
      </c>
      <c r="AC109" s="5">
        <f t="shared" si="382"/>
        <v>31.962391311541353</v>
      </c>
      <c r="AD109" s="5">
        <f t="shared" si="382"/>
        <v>32.147945433959535</v>
      </c>
      <c r="AE109" s="5">
        <f t="shared" si="382"/>
        <v>32.395350930516997</v>
      </c>
      <c r="AF109" s="5">
        <f t="shared" si="382"/>
        <v>32.642756427074573</v>
      </c>
      <c r="AG109" s="5">
        <f t="shared" si="382"/>
        <v>32.890161923632263</v>
      </c>
      <c r="AH109" s="5">
        <f t="shared" si="382"/>
        <v>33.137567420189612</v>
      </c>
      <c r="AI109" s="5">
        <f t="shared" si="382"/>
        <v>33.384972916747301</v>
      </c>
      <c r="AJ109" s="5">
        <f t="shared" si="382"/>
        <v>33.632378413304764</v>
      </c>
      <c r="AK109" s="5">
        <f t="shared" si="382"/>
        <v>33.941635284001677</v>
      </c>
      <c r="AL109" s="5">
        <f t="shared" si="382"/>
        <v>34.189040780559367</v>
      </c>
      <c r="AM109" s="5">
        <f t="shared" si="382"/>
        <v>34.436446277116829</v>
      </c>
      <c r="AN109" s="5">
        <f t="shared" si="382"/>
        <v>34.683851773674405</v>
      </c>
      <c r="AO109" s="5">
        <f t="shared" si="382"/>
        <v>34.931257270231981</v>
      </c>
      <c r="AP109" s="5">
        <f t="shared" ref="AP109" si="383" xml:space="preserve"> AP108-AO108</f>
        <v>35.240514140928894</v>
      </c>
      <c r="AQ109" s="5">
        <f t="shared" ref="AQ109" si="384" xml:space="preserve"> AQ108-AP108</f>
        <v>35.48791963748647</v>
      </c>
      <c r="AR109" s="5">
        <f t="shared" ref="AR109" si="385" xml:space="preserve"> AR108-AQ108</f>
        <v>35.735325134043819</v>
      </c>
      <c r="AS109" s="5">
        <f t="shared" ref="AS109" si="386" xml:space="preserve"> AS108-AR108</f>
        <v>36.04458200474096</v>
      </c>
      <c r="AT109" s="5">
        <f t="shared" ref="AT109" si="387" xml:space="preserve"> AT108-AS108</f>
        <v>36.291987501298536</v>
      </c>
      <c r="AU109" s="5">
        <f t="shared" ref="AU109" si="388" xml:space="preserve"> AU108-AT108</f>
        <v>36.539392997856112</v>
      </c>
      <c r="AV109" s="5">
        <f t="shared" ref="AV109" si="389" xml:space="preserve"> AV108-AU108</f>
        <v>36.848649868553139</v>
      </c>
      <c r="AW109" s="5">
        <f t="shared" ref="AW109" si="390" xml:space="preserve"> AW108-AV108</f>
        <v>37.096055365110487</v>
      </c>
      <c r="AX109" s="5">
        <f t="shared" ref="AX109" si="391" xml:space="preserve"> AX108-AW108</f>
        <v>37.405312235807287</v>
      </c>
      <c r="AY109" s="5">
        <f t="shared" ref="AY109" si="392" xml:space="preserve"> AY108-AX108</f>
        <v>37.714569106504314</v>
      </c>
      <c r="AZ109" s="5">
        <f t="shared" ref="AZ109" si="393" xml:space="preserve"> AZ108-AY108</f>
        <v>37.96197460306189</v>
      </c>
      <c r="BA109" s="5">
        <f t="shared" ref="BA109" si="394" xml:space="preserve"> BA108-AZ108</f>
        <v>38.271231473758917</v>
      </c>
      <c r="BB109" s="5">
        <f t="shared" ref="BB109" si="395" xml:space="preserve"> BB108-BA108</f>
        <v>38.51863697031672</v>
      </c>
      <c r="BC109" s="5">
        <f t="shared" ref="BC109" si="396" xml:space="preserve"> BC108-BB108</f>
        <v>38.82789384101352</v>
      </c>
      <c r="BD109" s="5">
        <f t="shared" ref="BD109" si="397" xml:space="preserve"> BD108-BC108</f>
        <v>39.137150711710547</v>
      </c>
      <c r="BE109" s="5">
        <f t="shared" ref="BE109" si="398" xml:space="preserve"> BE108-BD108</f>
        <v>39.446407582407346</v>
      </c>
      <c r="BF109" s="5">
        <f t="shared" ref="BF109" si="399" xml:space="preserve"> BF108-BE108</f>
        <v>39.693813078964922</v>
      </c>
      <c r="BG109" s="5">
        <f t="shared" ref="BG109:BH109" si="400" xml:space="preserve"> BG108-BF108</f>
        <v>40.003069949661722</v>
      </c>
      <c r="BH109" s="5">
        <f t="shared" si="400"/>
        <v>40.312326820358749</v>
      </c>
      <c r="BI109" s="5"/>
    </row>
    <row r="110" spans="1:61" x14ac:dyDescent="0.2">
      <c r="A110" t="s">
        <v>705</v>
      </c>
      <c r="B110" s="31"/>
      <c r="C110" s="103">
        <v>74</v>
      </c>
      <c r="D110" s="10">
        <f xml:space="preserve"> $C110</f>
        <v>74</v>
      </c>
      <c r="E110" s="10">
        <f t="shared" ref="E110:BH110" si="401" xml:space="preserve"> $C110</f>
        <v>74</v>
      </c>
      <c r="F110" s="10">
        <f t="shared" si="401"/>
        <v>74</v>
      </c>
      <c r="G110" s="10">
        <f t="shared" si="401"/>
        <v>74</v>
      </c>
      <c r="H110" s="10">
        <f t="shared" si="401"/>
        <v>74</v>
      </c>
      <c r="I110" s="10">
        <f t="shared" si="401"/>
        <v>74</v>
      </c>
      <c r="J110" s="10">
        <f t="shared" si="401"/>
        <v>74</v>
      </c>
      <c r="K110" s="10">
        <f t="shared" si="401"/>
        <v>74</v>
      </c>
      <c r="L110" s="10">
        <f t="shared" si="401"/>
        <v>74</v>
      </c>
      <c r="M110" s="10">
        <f t="shared" si="401"/>
        <v>74</v>
      </c>
      <c r="N110" s="10">
        <f t="shared" si="401"/>
        <v>74</v>
      </c>
      <c r="O110" s="10">
        <f t="shared" si="401"/>
        <v>74</v>
      </c>
      <c r="P110" s="10">
        <f t="shared" si="401"/>
        <v>74</v>
      </c>
      <c r="Q110" s="10">
        <f t="shared" si="401"/>
        <v>74</v>
      </c>
      <c r="R110" s="10">
        <f t="shared" si="401"/>
        <v>74</v>
      </c>
      <c r="S110" s="10">
        <f t="shared" si="401"/>
        <v>74</v>
      </c>
      <c r="T110" s="10">
        <f t="shared" si="401"/>
        <v>74</v>
      </c>
      <c r="U110" s="10">
        <f t="shared" si="401"/>
        <v>74</v>
      </c>
      <c r="V110" s="10">
        <f t="shared" si="401"/>
        <v>74</v>
      </c>
      <c r="W110" s="10">
        <f t="shared" si="401"/>
        <v>74</v>
      </c>
      <c r="X110" s="10">
        <f t="shared" si="401"/>
        <v>74</v>
      </c>
      <c r="Y110" s="10">
        <f t="shared" si="401"/>
        <v>74</v>
      </c>
      <c r="Z110" s="10">
        <f t="shared" si="401"/>
        <v>74</v>
      </c>
      <c r="AA110" s="10">
        <f t="shared" si="401"/>
        <v>74</v>
      </c>
      <c r="AB110" s="10">
        <f t="shared" si="401"/>
        <v>74</v>
      </c>
      <c r="AC110" s="10">
        <f t="shared" si="401"/>
        <v>74</v>
      </c>
      <c r="AD110" s="10">
        <f t="shared" si="401"/>
        <v>74</v>
      </c>
      <c r="AE110" s="10">
        <f t="shared" si="401"/>
        <v>74</v>
      </c>
      <c r="AF110" s="10">
        <f t="shared" si="401"/>
        <v>74</v>
      </c>
      <c r="AG110" s="10">
        <f t="shared" si="401"/>
        <v>74</v>
      </c>
      <c r="AH110" s="10">
        <f t="shared" si="401"/>
        <v>74</v>
      </c>
      <c r="AI110" s="10">
        <f t="shared" si="401"/>
        <v>74</v>
      </c>
      <c r="AJ110" s="10">
        <f t="shared" si="401"/>
        <v>74</v>
      </c>
      <c r="AK110" s="10">
        <f t="shared" si="401"/>
        <v>74</v>
      </c>
      <c r="AL110" s="10">
        <f t="shared" si="401"/>
        <v>74</v>
      </c>
      <c r="AM110" s="10">
        <f t="shared" si="401"/>
        <v>74</v>
      </c>
      <c r="AN110" s="10">
        <f t="shared" si="401"/>
        <v>74</v>
      </c>
      <c r="AO110" s="10">
        <f t="shared" si="401"/>
        <v>74</v>
      </c>
      <c r="AP110" s="10">
        <f t="shared" si="401"/>
        <v>74</v>
      </c>
      <c r="AQ110" s="10">
        <f t="shared" si="401"/>
        <v>74</v>
      </c>
      <c r="AR110" s="10">
        <f t="shared" si="401"/>
        <v>74</v>
      </c>
      <c r="AS110" s="10">
        <f t="shared" si="401"/>
        <v>74</v>
      </c>
      <c r="AT110" s="10">
        <f t="shared" si="401"/>
        <v>74</v>
      </c>
      <c r="AU110" s="10">
        <f t="shared" si="401"/>
        <v>74</v>
      </c>
      <c r="AV110" s="10">
        <f t="shared" si="401"/>
        <v>74</v>
      </c>
      <c r="AW110" s="10">
        <f t="shared" si="401"/>
        <v>74</v>
      </c>
      <c r="AX110" s="10">
        <f t="shared" si="401"/>
        <v>74</v>
      </c>
      <c r="AY110" s="10">
        <f t="shared" si="401"/>
        <v>74</v>
      </c>
      <c r="AZ110" s="10">
        <f t="shared" si="401"/>
        <v>74</v>
      </c>
      <c r="BA110" s="10">
        <f t="shared" si="401"/>
        <v>74</v>
      </c>
      <c r="BB110" s="10">
        <f t="shared" si="401"/>
        <v>74</v>
      </c>
      <c r="BC110" s="10">
        <f t="shared" si="401"/>
        <v>74</v>
      </c>
      <c r="BD110" s="10">
        <f t="shared" si="401"/>
        <v>74</v>
      </c>
      <c r="BE110" s="10">
        <f t="shared" si="401"/>
        <v>74</v>
      </c>
      <c r="BF110" s="10">
        <f t="shared" si="401"/>
        <v>74</v>
      </c>
      <c r="BG110" s="10">
        <f t="shared" si="401"/>
        <v>74</v>
      </c>
      <c r="BH110" s="10">
        <f t="shared" si="401"/>
        <v>74</v>
      </c>
      <c r="BI110" s="10"/>
    </row>
    <row r="111" spans="1:61" s="80" customFormat="1" x14ac:dyDescent="0.2">
      <c r="A111" s="80" t="s">
        <v>525</v>
      </c>
      <c r="B111" s="163"/>
      <c r="C111" s="81">
        <f t="shared" ref="C111:AM111" si="402">C107*C110</f>
        <v>0</v>
      </c>
      <c r="D111" s="81">
        <f t="shared" si="402"/>
        <v>0</v>
      </c>
      <c r="E111" s="81">
        <f t="shared" si="402"/>
        <v>0</v>
      </c>
      <c r="F111" s="81">
        <f t="shared" si="402"/>
        <v>0</v>
      </c>
      <c r="G111" s="81">
        <f t="shared" si="402"/>
        <v>0</v>
      </c>
      <c r="H111" s="81">
        <f t="shared" si="402"/>
        <v>2025937.7097691421</v>
      </c>
      <c r="I111" s="81">
        <f t="shared" si="402"/>
        <v>6077813.1293074256</v>
      </c>
      <c r="J111" s="81">
        <f t="shared" si="402"/>
        <v>12195720.793386972</v>
      </c>
      <c r="K111" s="81">
        <f t="shared" si="402"/>
        <v>20379660.702007771</v>
      </c>
      <c r="L111" s="81">
        <f t="shared" si="402"/>
        <v>30629632.855169833</v>
      </c>
      <c r="M111" s="81">
        <f t="shared" si="402"/>
        <v>42985731.787645273</v>
      </c>
      <c r="N111" s="81">
        <f t="shared" si="402"/>
        <v>57488052.034206212</v>
      </c>
      <c r="O111" s="81">
        <f t="shared" si="402"/>
        <v>74096499.060080513</v>
      </c>
      <c r="P111" s="81">
        <f t="shared" si="402"/>
        <v>92851167.400040329</v>
      </c>
      <c r="Q111" s="81">
        <f t="shared" si="402"/>
        <v>111766213.87908858</v>
      </c>
      <c r="R111" s="81">
        <f t="shared" si="402"/>
        <v>130841638.49722531</v>
      </c>
      <c r="S111" s="81">
        <f t="shared" si="402"/>
        <v>150037346.7196784</v>
      </c>
      <c r="T111" s="81">
        <f t="shared" si="402"/>
        <v>169393433.08122</v>
      </c>
      <c r="U111" s="81">
        <f t="shared" si="402"/>
        <v>188869803.04707789</v>
      </c>
      <c r="V111" s="81">
        <f t="shared" si="402"/>
        <v>208506551.15202427</v>
      </c>
      <c r="W111" s="81">
        <f t="shared" si="402"/>
        <v>228303677.3960591</v>
      </c>
      <c r="X111" s="81">
        <f t="shared" si="402"/>
        <v>248261181.77918243</v>
      </c>
      <c r="Y111" s="81">
        <f t="shared" si="402"/>
        <v>268338969.7666221</v>
      </c>
      <c r="Z111" s="81">
        <f t="shared" si="402"/>
        <v>288577135.89315021</v>
      </c>
      <c r="AA111" s="81">
        <f t="shared" si="402"/>
        <v>308975680.15876687</v>
      </c>
      <c r="AB111" s="81">
        <f t="shared" si="402"/>
        <v>329534602.56347185</v>
      </c>
      <c r="AC111" s="81">
        <f t="shared" si="402"/>
        <v>350253903.10726541</v>
      </c>
      <c r="AD111" s="81">
        <f t="shared" si="402"/>
        <v>371093487.25537533</v>
      </c>
      <c r="AE111" s="81">
        <f t="shared" si="402"/>
        <v>392093449.54257375</v>
      </c>
      <c r="AF111" s="81">
        <f t="shared" si="402"/>
        <v>413253789.96886051</v>
      </c>
      <c r="AG111" s="81">
        <f t="shared" si="402"/>
        <v>434574508.53423589</v>
      </c>
      <c r="AH111" s="81">
        <f t="shared" si="402"/>
        <v>456055605.23869967</v>
      </c>
      <c r="AI111" s="81">
        <f t="shared" si="402"/>
        <v>477697080.08225185</v>
      </c>
      <c r="AJ111" s="81">
        <f t="shared" si="402"/>
        <v>499498933.06489253</v>
      </c>
      <c r="AK111" s="81">
        <f t="shared" si="402"/>
        <v>521501258.72139382</v>
      </c>
      <c r="AL111" s="81">
        <f t="shared" si="402"/>
        <v>543663962.51698363</v>
      </c>
      <c r="AM111" s="81">
        <f t="shared" si="402"/>
        <v>565987044.45166183</v>
      </c>
      <c r="AN111" s="81">
        <f t="shared" ref="AN111:AP111" si="403">AN107*AN110</f>
        <v>588470504.52542853</v>
      </c>
      <c r="AO111" s="81">
        <f t="shared" si="403"/>
        <v>611114342.73828375</v>
      </c>
      <c r="AP111" s="81">
        <f t="shared" si="403"/>
        <v>633958653.62499952</v>
      </c>
      <c r="AQ111" s="81">
        <f t="shared" ref="AQ111:AS111" si="404">AQ107*AQ110</f>
        <v>656963342.65080369</v>
      </c>
      <c r="AR111" s="81">
        <f t="shared" si="404"/>
        <v>680128409.81569624</v>
      </c>
      <c r="AS111" s="81">
        <f t="shared" si="404"/>
        <v>703493949.65444946</v>
      </c>
      <c r="AT111" s="81">
        <f t="shared" ref="AT111:AY111" si="405">AT107*AT110</f>
        <v>727019867.63229132</v>
      </c>
      <c r="AU111" s="81">
        <f t="shared" si="405"/>
        <v>750706163.74922156</v>
      </c>
      <c r="AV111" s="81">
        <f t="shared" si="405"/>
        <v>774592932.54001236</v>
      </c>
      <c r="AW111" s="81">
        <f t="shared" si="405"/>
        <v>798640079.46989155</v>
      </c>
      <c r="AX111" s="81">
        <f t="shared" si="405"/>
        <v>822887699.07363129</v>
      </c>
      <c r="AY111" s="81">
        <f t="shared" si="405"/>
        <v>847335791.35123169</v>
      </c>
      <c r="AZ111" s="81">
        <f t="shared" ref="AZ111:BE111" si="406">AZ107*AZ110</f>
        <v>871944261.76792061</v>
      </c>
      <c r="BA111" s="81">
        <f t="shared" si="406"/>
        <v>896753204.85847008</v>
      </c>
      <c r="BB111" s="81">
        <f t="shared" si="406"/>
        <v>921722526.08810818</v>
      </c>
      <c r="BC111" s="81">
        <f t="shared" si="406"/>
        <v>946892319.99160683</v>
      </c>
      <c r="BD111" s="81">
        <f t="shared" si="406"/>
        <v>972262586.56896591</v>
      </c>
      <c r="BE111" s="81">
        <f t="shared" si="406"/>
        <v>997833325.82018566</v>
      </c>
      <c r="BF111" s="81">
        <f t="shared" ref="BF111:BG111" si="407">BF107*BF110</f>
        <v>1023564443.2104939</v>
      </c>
      <c r="BG111" s="81">
        <f t="shared" si="407"/>
        <v>1049496033.2746627</v>
      </c>
      <c r="BH111" s="81">
        <f t="shared" ref="BH111" si="408">BH107*BH110</f>
        <v>1075628096.012692</v>
      </c>
      <c r="BI111" s="81"/>
    </row>
    <row r="112" spans="1:61" s="129" customFormat="1" x14ac:dyDescent="0.2">
      <c r="A112" s="129" t="s">
        <v>734</v>
      </c>
      <c r="B112" s="157"/>
      <c r="C112" s="130">
        <f xml:space="preserve"> C$104 * 'SGSP Section Cost low evap.'!$C$55</f>
        <v>0</v>
      </c>
      <c r="D112" s="130">
        <f xml:space="preserve"> D$104 * 'SGSP Section Cost low evap.'!$C$55</f>
        <v>0</v>
      </c>
      <c r="E112" s="130">
        <f xml:space="preserve"> E$104 * 'SGSP Section Cost low evap.'!$C$55</f>
        <v>0</v>
      </c>
      <c r="F112" s="130">
        <f xml:space="preserve"> F$104 * 'SGSP Section Cost low evap.'!$C$55</f>
        <v>0</v>
      </c>
      <c r="G112" s="130">
        <f xml:space="preserve"> G$104 * 'SGSP Section Cost low evap.'!$C$55</f>
        <v>0</v>
      </c>
      <c r="H112" s="130">
        <f xml:space="preserve"> H$104 * 'SGSP Section Cost low evap.'!$C$55</f>
        <v>381.6160835001894</v>
      </c>
      <c r="I112" s="130">
        <f xml:space="preserve"> I$104 * 'SGSP Section Cost low evap.'!$C$55</f>
        <v>1144.8482505005682</v>
      </c>
      <c r="J112" s="130">
        <f xml:space="preserve"> J$104 * 'SGSP Section Cost low evap.'!$C$55</f>
        <v>2297.2489145110471</v>
      </c>
      <c r="K112" s="130">
        <f xml:space="preserve"> K$104 * 'SGSP Section Cost low evap.'!$C$55</f>
        <v>3838.8180755316253</v>
      </c>
      <c r="L112" s="130">
        <f xml:space="preserve"> L$104 * 'SGSP Section Cost low evap.'!$C$55</f>
        <v>5769.5557335623034</v>
      </c>
      <c r="M112" s="130">
        <f xml:space="preserve"> M$104 * 'SGSP Section Cost low evap.'!$C$55</f>
        <v>8097.0143021129925</v>
      </c>
      <c r="N112" s="130">
        <f xml:space="preserve"> N$104 * 'SGSP Section Cost low evap.'!$C$55</f>
        <v>10828.746194693602</v>
      </c>
      <c r="O112" s="130">
        <f xml:space="preserve"> O$104 * 'SGSP Section Cost low evap.'!$C$55</f>
        <v>13957.198997794221</v>
      </c>
      <c r="P112" s="130">
        <f xml:space="preserve"> P$104 * 'SGSP Section Cost low evap.'!$C$55</f>
        <v>17489.925124924761</v>
      </c>
      <c r="Q112" s="130">
        <f xml:space="preserve"> Q$104 * 'SGSP Section Cost low evap.'!$C$55</f>
        <v>21052.860906094942</v>
      </c>
      <c r="R112" s="130">
        <f xml:space="preserve"> R$104 * 'SGSP Section Cost low evap.'!$C$55</f>
        <v>24646.006341304765</v>
      </c>
      <c r="S112" s="130">
        <f xml:space="preserve"> S$104 * 'SGSP Section Cost low evap.'!$C$55</f>
        <v>28261.809017044321</v>
      </c>
      <c r="T112" s="130">
        <f xml:space="preserve"> T$104 * 'SGSP Section Cost low evap.'!$C$55</f>
        <v>31907.821346823523</v>
      </c>
      <c r="U112" s="130">
        <f xml:space="preserve"> U$104 * 'SGSP Section Cost low evap.'!$C$55</f>
        <v>35576.490917132447</v>
      </c>
      <c r="V112" s="130">
        <f xml:space="preserve"> V$104 * 'SGSP Section Cost low evap.'!$C$55</f>
        <v>39275.37014148102</v>
      </c>
      <c r="W112" s="130">
        <f xml:space="preserve"> W$104 * 'SGSP Section Cost low evap.'!$C$55</f>
        <v>43004.459019869224</v>
      </c>
      <c r="X112" s="130">
        <f xml:space="preserve"> X$104 * 'SGSP Section Cost low evap.'!$C$55</f>
        <v>46763.757552297087</v>
      </c>
      <c r="Y112" s="130">
        <f xml:space="preserve"> Y$104 * 'SGSP Section Cost low evap.'!$C$55</f>
        <v>50545.713325254663</v>
      </c>
      <c r="Z112" s="130">
        <f xml:space="preserve"> Z$104 * 'SGSP Section Cost low evap.'!$C$55</f>
        <v>54357.878752251898</v>
      </c>
      <c r="AA112" s="130">
        <f xml:space="preserve"> AA$104 * 'SGSP Section Cost low evap.'!$C$55</f>
        <v>58200.253833288763</v>
      </c>
      <c r="AB112" s="130">
        <f xml:space="preserve"> AB$104 * 'SGSP Section Cost low evap.'!$C$55</f>
        <v>62072.838568365267</v>
      </c>
      <c r="AC112" s="130">
        <f xml:space="preserve"> AC$104 * 'SGSP Section Cost low evap.'!$C$55</f>
        <v>65975.63295748143</v>
      </c>
      <c r="AD112" s="130">
        <f xml:space="preserve"> AD$104 * 'SGSP Section Cost low evap.'!$C$55</f>
        <v>69901.084587127305</v>
      </c>
      <c r="AE112" s="130">
        <f xml:space="preserve"> AE$104 * 'SGSP Section Cost low evap.'!$C$55</f>
        <v>73856.74587081284</v>
      </c>
      <c r="AF112" s="130">
        <f xml:space="preserve"> AF$104 * 'SGSP Section Cost low evap.'!$C$55</f>
        <v>77842.616808538005</v>
      </c>
      <c r="AG112" s="130">
        <f xml:space="preserve"> AG$104 * 'SGSP Section Cost low evap.'!$C$55</f>
        <v>81858.697400302815</v>
      </c>
      <c r="AH112" s="130">
        <f xml:space="preserve"> AH$104 * 'SGSP Section Cost low evap.'!$C$55</f>
        <v>85904.987646107271</v>
      </c>
      <c r="AI112" s="130">
        <f xml:space="preserve"> AI$104 * 'SGSP Section Cost low evap.'!$C$55</f>
        <v>89981.487545951357</v>
      </c>
      <c r="AJ112" s="130">
        <f xml:space="preserve"> AJ$104 * 'SGSP Section Cost low evap.'!$C$55</f>
        <v>94088.197099835088</v>
      </c>
      <c r="AK112" s="130">
        <f xml:space="preserve"> AK$104 * 'SGSP Section Cost low evap.'!$C$55</f>
        <v>98232.668721268376</v>
      </c>
      <c r="AL112" s="130">
        <f xml:space="preserve"> AL$104 * 'SGSP Section Cost low evap.'!$C$55</f>
        <v>102407.34999674131</v>
      </c>
      <c r="AM112" s="130">
        <f xml:space="preserve"> AM$104 * 'SGSP Section Cost low evap.'!$C$55</f>
        <v>106612.24092625389</v>
      </c>
      <c r="AN112" s="130">
        <f xml:space="preserve"> AN$104 * 'SGSP Section Cost low evap.'!$C$55</f>
        <v>110847.34150980609</v>
      </c>
      <c r="AO112" s="130">
        <f xml:space="preserve"> AO$104 * 'SGSP Section Cost low evap.'!$C$55</f>
        <v>115112.65174739795</v>
      </c>
      <c r="AP112" s="130">
        <f xml:space="preserve"> AP$104 * 'SGSP Section Cost low evap.'!$C$55</f>
        <v>119415.72405253936</v>
      </c>
      <c r="AQ112" s="130">
        <f xml:space="preserve"> AQ$104 * 'SGSP Section Cost low evap.'!$C$55</f>
        <v>123749.0060117204</v>
      </c>
      <c r="AR112" s="130">
        <f xml:space="preserve"> AR$104 * 'SGSP Section Cost low evap.'!$C$55</f>
        <v>128112.49762494108</v>
      </c>
      <c r="AS112" s="130">
        <f xml:space="preserve"> AS$104 * 'SGSP Section Cost low evap.'!$C$55</f>
        <v>132513.75130571131</v>
      </c>
      <c r="AT112" s="130">
        <f xml:space="preserve"> AT$104 * 'SGSP Section Cost low evap.'!$C$55</f>
        <v>136945.21464052121</v>
      </c>
      <c r="AU112" s="130">
        <f xml:space="preserve"> AU$104 * 'SGSP Section Cost low evap.'!$C$55</f>
        <v>141406.88762937073</v>
      </c>
      <c r="AV112" s="130">
        <f xml:space="preserve"> AV$104 * 'SGSP Section Cost low evap.'!$C$55</f>
        <v>145906.32268576982</v>
      </c>
      <c r="AW112" s="130">
        <f xml:space="preserve"> AW$104 * 'SGSP Section Cost low evap.'!$C$55</f>
        <v>150435.96739620852</v>
      </c>
      <c r="AX112" s="130">
        <f xml:space="preserve"> AX$104 * 'SGSP Section Cost low evap.'!$C$55</f>
        <v>155003.37417419677</v>
      </c>
      <c r="AY112" s="130">
        <f xml:space="preserve"> AY$104 * 'SGSP Section Cost low evap.'!$C$55</f>
        <v>159608.54301973458</v>
      </c>
      <c r="AZ112" s="130">
        <f xml:space="preserve"> AZ$104 * 'SGSP Section Cost low evap.'!$C$55</f>
        <v>164243.92151931205</v>
      </c>
      <c r="BA112" s="130">
        <f xml:space="preserve"> BA$104 * 'SGSP Section Cost low evap.'!$C$55</f>
        <v>168917.06208643908</v>
      </c>
      <c r="BB112" s="130">
        <f xml:space="preserve"> BB$104 * 'SGSP Section Cost low evap.'!$C$55</f>
        <v>173620.41230760573</v>
      </c>
      <c r="BC112" s="130">
        <f xml:space="preserve"> BC$104 * 'SGSP Section Cost low evap.'!$C$55</f>
        <v>178361.52459632198</v>
      </c>
      <c r="BD112" s="130">
        <f xml:space="preserve"> BD$104 * 'SGSP Section Cost low evap.'!$C$55</f>
        <v>183140.39895258774</v>
      </c>
      <c r="BE112" s="130">
        <f xml:space="preserve"> BE$104 * 'SGSP Section Cost low evap.'!$C$55</f>
        <v>187957.03537640307</v>
      </c>
      <c r="BF112" s="130">
        <f xml:space="preserve"> BF$104 * 'SGSP Section Cost low evap.'!$C$55</f>
        <v>192803.88145425802</v>
      </c>
      <c r="BG112" s="130">
        <f xml:space="preserve"> BG$104 * 'SGSP Section Cost low evap.'!$C$55</f>
        <v>197688.48959966254</v>
      </c>
      <c r="BH112" s="130">
        <f xml:space="preserve"> BH$104 * 'SGSP Section Cost low evap.'!$C$55</f>
        <v>202610.8598126166</v>
      </c>
      <c r="BI112" s="131"/>
    </row>
    <row r="113" spans="1:61" s="113" customFormat="1" x14ac:dyDescent="0.2">
      <c r="A113" s="113" t="s">
        <v>657</v>
      </c>
      <c r="B113" s="164"/>
      <c r="C113" s="115">
        <f xml:space="preserve"> C$104 * 'SGSP Section Cost low evap.'!$C$54</f>
        <v>0</v>
      </c>
      <c r="D113" s="115">
        <f xml:space="preserve"> D$104 * 'SGSP Section Cost low evap.'!$C$54</f>
        <v>0</v>
      </c>
      <c r="E113" s="115">
        <f xml:space="preserve"> E$104 * 'SGSP Section Cost low evap.'!$C$54</f>
        <v>0</v>
      </c>
      <c r="F113" s="115">
        <f xml:space="preserve"> F$104 * 'SGSP Section Cost low evap.'!$C$54</f>
        <v>0</v>
      </c>
      <c r="G113" s="115">
        <f xml:space="preserve"> G$104 * 'SGSP Section Cost low evap.'!$C$54</f>
        <v>0</v>
      </c>
      <c r="H113" s="115">
        <f xml:space="preserve"> H$104 * 'SGSP Section Cost low evap.'!$C$54</f>
        <v>283.32332214263948</v>
      </c>
      <c r="I113" s="115">
        <f xml:space="preserve"> I$104 * 'SGSP Section Cost low evap.'!$C$54</f>
        <v>849.96996642791839</v>
      </c>
      <c r="J113" s="115">
        <f xml:space="preserve"> J$104 * 'SGSP Section Cost low evap.'!$C$54</f>
        <v>1705.5470730638617</v>
      </c>
      <c r="K113" s="115">
        <f xml:space="preserve"> K$104 * 'SGSP Section Cost low evap.'!$C$54</f>
        <v>2850.0546420504688</v>
      </c>
      <c r="L113" s="115">
        <f xml:space="preserve"> L$104 * 'SGSP Section Cost low evap.'!$C$54</f>
        <v>4283.4926733877401</v>
      </c>
      <c r="M113" s="115">
        <f xml:space="preserve"> M$104 * 'SGSP Section Cost low evap.'!$C$54</f>
        <v>6011.4683072836997</v>
      </c>
      <c r="N113" s="115">
        <f xml:space="preserve"> N$104 * 'SGSP Section Cost low evap.'!$C$54</f>
        <v>8039.5886839463737</v>
      </c>
      <c r="O113" s="115">
        <f xml:space="preserve"> O$104 * 'SGSP Section Cost low evap.'!$C$54</f>
        <v>10362.246663167734</v>
      </c>
      <c r="P113" s="115">
        <f xml:space="preserve"> P$104 * 'SGSP Section Cost low evap.'!$C$54</f>
        <v>12985.049385155811</v>
      </c>
      <c r="Q113" s="115">
        <f xml:space="preserve"> Q$104 * 'SGSP Section Cost low evap.'!$C$54</f>
        <v>15630.280667975983</v>
      </c>
      <c r="R113" s="115">
        <f xml:space="preserve"> R$104 * 'SGSP Section Cost low evap.'!$C$54</f>
        <v>18297.940511628254</v>
      </c>
      <c r="S113" s="115">
        <f xml:space="preserve"> S$104 * 'SGSP Section Cost low evap.'!$C$54</f>
        <v>20982.421775904601</v>
      </c>
      <c r="T113" s="115">
        <f xml:space="preserve"> T$104 * 'SGSP Section Cost low evap.'!$C$54</f>
        <v>23689.331601013047</v>
      </c>
      <c r="U113" s="115">
        <f xml:space="preserve"> U$104 * 'SGSP Section Cost low evap.'!$C$54</f>
        <v>26413.062846745564</v>
      </c>
      <c r="V113" s="115">
        <f xml:space="preserve"> V$104 * 'SGSP Section Cost low evap.'!$C$54</f>
        <v>29159.222653310178</v>
      </c>
      <c r="W113" s="115">
        <f xml:space="preserve"> W$104 * 'SGSP Section Cost low evap.'!$C$54</f>
        <v>31927.811020706889</v>
      </c>
      <c r="X113" s="115">
        <f xml:space="preserve"> X$104 * 'SGSP Section Cost low evap.'!$C$54</f>
        <v>34718.827948935708</v>
      </c>
      <c r="Y113" s="115">
        <f xml:space="preserve"> Y$104 * 'SGSP Section Cost low evap.'!$C$54</f>
        <v>37526.666297788586</v>
      </c>
      <c r="Z113" s="115">
        <f xml:space="preserve"> Z$104 * 'SGSP Section Cost low evap.'!$C$54</f>
        <v>40356.933207473579</v>
      </c>
      <c r="AA113" s="115">
        <f xml:space="preserve"> AA$104 * 'SGSP Section Cost low evap.'!$C$54</f>
        <v>43209.628677990659</v>
      </c>
      <c r="AB113" s="115">
        <f xml:space="preserve"> AB$104 * 'SGSP Section Cost low evap.'!$C$54</f>
        <v>46084.752709339838</v>
      </c>
      <c r="AC113" s="115">
        <f xml:space="preserve"> AC$104 * 'SGSP Section Cost low evap.'!$C$54</f>
        <v>48982.305301521119</v>
      </c>
      <c r="AD113" s="115">
        <f xml:space="preserve"> AD$104 * 'SGSP Section Cost low evap.'!$C$54</f>
        <v>51896.679314326473</v>
      </c>
      <c r="AE113" s="115">
        <f xml:space="preserve"> AE$104 * 'SGSP Section Cost low evap.'!$C$54</f>
        <v>54833.481887963928</v>
      </c>
      <c r="AF113" s="115">
        <f xml:space="preserve"> AF$104 * 'SGSP Section Cost low evap.'!$C$54</f>
        <v>57792.713022433483</v>
      </c>
      <c r="AG113" s="115">
        <f xml:space="preserve"> AG$104 * 'SGSP Section Cost low evap.'!$C$54</f>
        <v>60774.372717735132</v>
      </c>
      <c r="AH113" s="115">
        <f xml:space="preserve"> AH$104 * 'SGSP Section Cost low evap.'!$C$54</f>
        <v>63778.460973868881</v>
      </c>
      <c r="AI113" s="115">
        <f xml:space="preserve"> AI$104 * 'SGSP Section Cost low evap.'!$C$54</f>
        <v>66804.977790834717</v>
      </c>
      <c r="AJ113" s="115">
        <f xml:space="preserve"> AJ$104 * 'SGSP Section Cost low evap.'!$C$54</f>
        <v>69853.923168632668</v>
      </c>
      <c r="AK113" s="115">
        <f xml:space="preserve"> AK$104 * 'SGSP Section Cost low evap.'!$C$54</f>
        <v>72930.904247470724</v>
      </c>
      <c r="AL113" s="115">
        <f xml:space="preserve"> AL$104 * 'SGSP Section Cost low evap.'!$C$54</f>
        <v>76030.313887140888</v>
      </c>
      <c r="AM113" s="115">
        <f xml:space="preserve"> AM$104 * 'SGSP Section Cost low evap.'!$C$54</f>
        <v>79152.15208764316</v>
      </c>
      <c r="AN113" s="115">
        <f xml:space="preserve"> AN$104 * 'SGSP Section Cost low evap.'!$C$54</f>
        <v>82296.418848977526</v>
      </c>
      <c r="AO113" s="115">
        <f xml:space="preserve"> AO$104 * 'SGSP Section Cost low evap.'!$C$54</f>
        <v>85463.114171143985</v>
      </c>
      <c r="AP113" s="115">
        <f xml:space="preserve"> AP$104 * 'SGSP Section Cost low evap.'!$C$54</f>
        <v>88657.845194350564</v>
      </c>
      <c r="AQ113" s="115">
        <f xml:space="preserve"> AQ$104 * 'SGSP Section Cost low evap.'!$C$54</f>
        <v>91875.004778389251</v>
      </c>
      <c r="AR113" s="115">
        <f xml:space="preserve"> AR$104 * 'SGSP Section Cost low evap.'!$C$54</f>
        <v>95114.592923260017</v>
      </c>
      <c r="AS113" s="115">
        <f xml:space="preserve"> AS$104 * 'SGSP Section Cost low evap.'!$C$54</f>
        <v>98382.216769170918</v>
      </c>
      <c r="AT113" s="115">
        <f xml:space="preserve"> AT$104 * 'SGSP Section Cost low evap.'!$C$54</f>
        <v>101672.26917591393</v>
      </c>
      <c r="AU113" s="115">
        <f xml:space="preserve"> AU$104 * 'SGSP Section Cost low evap.'!$C$54</f>
        <v>104984.75014348903</v>
      </c>
      <c r="AV113" s="115">
        <f xml:space="preserve"> AV$104 * 'SGSP Section Cost low evap.'!$C$54</f>
        <v>108325.26681210425</v>
      </c>
      <c r="AW113" s="115">
        <f xml:space="preserve"> AW$104 * 'SGSP Section Cost low evap.'!$C$54</f>
        <v>111688.21204155157</v>
      </c>
      <c r="AX113" s="115">
        <f xml:space="preserve"> AX$104 * 'SGSP Section Cost low evap.'!$C$54</f>
        <v>115079.19297203899</v>
      </c>
      <c r="AY113" s="115">
        <f xml:space="preserve"> AY$104 * 'SGSP Section Cost low evap.'!$C$54</f>
        <v>118498.20960356655</v>
      </c>
      <c r="AZ113" s="115">
        <f xml:space="preserve"> AZ$104 * 'SGSP Section Cost low evap.'!$C$54</f>
        <v>121939.65479592621</v>
      </c>
      <c r="BA113" s="115">
        <f xml:space="preserve"> BA$104 * 'SGSP Section Cost low evap.'!$C$54</f>
        <v>125409.13568932601</v>
      </c>
      <c r="BB113" s="115">
        <f xml:space="preserve"> BB$104 * 'SGSP Section Cost low evap.'!$C$54</f>
        <v>128901.0451435579</v>
      </c>
      <c r="BC113" s="115">
        <f xml:space="preserve"> BC$104 * 'SGSP Section Cost low evap.'!$C$54</f>
        <v>132420.99029882991</v>
      </c>
      <c r="BD113" s="115">
        <f xml:space="preserve"> BD$104 * 'SGSP Section Cost low evap.'!$C$54</f>
        <v>135968.97115514206</v>
      </c>
      <c r="BE113" s="115">
        <f xml:space="preserve"> BE$104 * 'SGSP Section Cost low evap.'!$C$54</f>
        <v>139544.98771249433</v>
      </c>
      <c r="BF113" s="115">
        <f xml:space="preserve"> BF$104 * 'SGSP Section Cost low evap.'!$C$54</f>
        <v>143143.43283067868</v>
      </c>
      <c r="BG113" s="115">
        <f xml:space="preserve"> BG$104 * 'SGSP Section Cost low evap.'!$C$54</f>
        <v>146769.91364990314</v>
      </c>
      <c r="BH113" s="115">
        <f xml:space="preserve"> BH$104 * 'SGSP Section Cost low evap.'!$C$54</f>
        <v>150424.43017016773</v>
      </c>
      <c r="BI113" s="114"/>
    </row>
    <row r="114" spans="1:61" s="119" customFormat="1" x14ac:dyDescent="0.2">
      <c r="A114" s="128" t="s">
        <v>812</v>
      </c>
      <c r="B114" s="162"/>
      <c r="C114" s="118">
        <f xml:space="preserve"> C112-C113</f>
        <v>0</v>
      </c>
      <c r="D114" s="118">
        <f t="shared" ref="D114:AM114" si="409" xml:space="preserve"> D112-D113</f>
        <v>0</v>
      </c>
      <c r="E114" s="118">
        <f t="shared" si="409"/>
        <v>0</v>
      </c>
      <c r="F114" s="118">
        <f t="shared" si="409"/>
        <v>0</v>
      </c>
      <c r="G114" s="118">
        <f t="shared" si="409"/>
        <v>0</v>
      </c>
      <c r="H114" s="118">
        <f t="shared" si="409"/>
        <v>98.292761357549921</v>
      </c>
      <c r="I114" s="118">
        <f t="shared" si="409"/>
        <v>294.87828407264976</v>
      </c>
      <c r="J114" s="118">
        <f t="shared" si="409"/>
        <v>591.70184144718542</v>
      </c>
      <c r="K114" s="118">
        <f t="shared" si="409"/>
        <v>988.76343348115643</v>
      </c>
      <c r="L114" s="118">
        <f t="shared" si="409"/>
        <v>1486.0630601745634</v>
      </c>
      <c r="M114" s="118">
        <f t="shared" si="409"/>
        <v>2085.5459948292928</v>
      </c>
      <c r="N114" s="118">
        <f t="shared" si="409"/>
        <v>2789.1575107472281</v>
      </c>
      <c r="O114" s="118">
        <f t="shared" si="409"/>
        <v>3594.9523346264868</v>
      </c>
      <c r="P114" s="118">
        <f t="shared" si="409"/>
        <v>4504.8757397689496</v>
      </c>
      <c r="Q114" s="118">
        <f t="shared" si="409"/>
        <v>5422.5802381189587</v>
      </c>
      <c r="R114" s="118">
        <f t="shared" si="409"/>
        <v>6348.0658296765105</v>
      </c>
      <c r="S114" s="118">
        <f t="shared" si="409"/>
        <v>7279.3872411397206</v>
      </c>
      <c r="T114" s="118">
        <f t="shared" si="409"/>
        <v>8218.4897458104751</v>
      </c>
      <c r="U114" s="118">
        <f t="shared" si="409"/>
        <v>9163.4280703868826</v>
      </c>
      <c r="V114" s="118">
        <f t="shared" si="409"/>
        <v>10116.147488170842</v>
      </c>
      <c r="W114" s="118">
        <f t="shared" si="409"/>
        <v>11076.647999162335</v>
      </c>
      <c r="X114" s="118">
        <f t="shared" si="409"/>
        <v>12044.929603361379</v>
      </c>
      <c r="Y114" s="118">
        <f t="shared" si="409"/>
        <v>13019.047027466077</v>
      </c>
      <c r="Z114" s="118">
        <f t="shared" si="409"/>
        <v>14000.945544778318</v>
      </c>
      <c r="AA114" s="118">
        <f t="shared" si="409"/>
        <v>14990.625155298105</v>
      </c>
      <c r="AB114" s="118">
        <f t="shared" si="409"/>
        <v>15988.085859025428</v>
      </c>
      <c r="AC114" s="118">
        <f t="shared" si="409"/>
        <v>16993.327655960311</v>
      </c>
      <c r="AD114" s="118">
        <f t="shared" si="409"/>
        <v>18004.405272800832</v>
      </c>
      <c r="AE114" s="118">
        <f t="shared" si="409"/>
        <v>19023.263982848912</v>
      </c>
      <c r="AF114" s="118">
        <f t="shared" si="409"/>
        <v>20049.903786104522</v>
      </c>
      <c r="AG114" s="118">
        <f t="shared" si="409"/>
        <v>21084.324682567683</v>
      </c>
      <c r="AH114" s="118">
        <f t="shared" si="409"/>
        <v>22126.526672238389</v>
      </c>
      <c r="AI114" s="118">
        <f t="shared" si="409"/>
        <v>23176.50975511664</v>
      </c>
      <c r="AJ114" s="118">
        <f t="shared" si="409"/>
        <v>24234.27393120242</v>
      </c>
      <c r="AK114" s="118">
        <f t="shared" si="409"/>
        <v>25301.764473797652</v>
      </c>
      <c r="AL114" s="118">
        <f t="shared" si="409"/>
        <v>26377.03610960042</v>
      </c>
      <c r="AM114" s="118">
        <f t="shared" si="409"/>
        <v>27460.088838610725</v>
      </c>
      <c r="AN114" s="118">
        <f t="shared" ref="AN114:AP114" si="410" xml:space="preserve"> AN112-AN113</f>
        <v>28550.922660828568</v>
      </c>
      <c r="AO114" s="118">
        <f t="shared" si="410"/>
        <v>29649.537576253962</v>
      </c>
      <c r="AP114" s="118">
        <f t="shared" si="410"/>
        <v>30757.878858188793</v>
      </c>
      <c r="AQ114" s="118">
        <f t="shared" ref="AQ114:AS114" si="411" xml:space="preserve"> AQ112-AQ113</f>
        <v>31874.001233331146</v>
      </c>
      <c r="AR114" s="118">
        <f t="shared" si="411"/>
        <v>32997.904701681065</v>
      </c>
      <c r="AS114" s="118">
        <f t="shared" si="411"/>
        <v>34131.534536540392</v>
      </c>
      <c r="AT114" s="118">
        <f t="shared" ref="AT114:AY114" si="412" xml:space="preserve"> AT112-AT113</f>
        <v>35272.945464607285</v>
      </c>
      <c r="AU114" s="118">
        <f t="shared" si="412"/>
        <v>36422.1374858817</v>
      </c>
      <c r="AV114" s="118">
        <f t="shared" si="412"/>
        <v>37581.055873665566</v>
      </c>
      <c r="AW114" s="118">
        <f t="shared" si="412"/>
        <v>38747.755354656954</v>
      </c>
      <c r="AX114" s="118">
        <f t="shared" si="412"/>
        <v>39924.181202157779</v>
      </c>
      <c r="AY114" s="118">
        <f t="shared" si="412"/>
        <v>41110.33341616804</v>
      </c>
      <c r="AZ114" s="118">
        <f t="shared" ref="AZ114:BE114" si="413" xml:space="preserve"> AZ112-AZ113</f>
        <v>42304.266723385837</v>
      </c>
      <c r="BA114" s="118">
        <f t="shared" si="413"/>
        <v>43507.926397113071</v>
      </c>
      <c r="BB114" s="118">
        <f t="shared" si="413"/>
        <v>44719.367164047828</v>
      </c>
      <c r="BC114" s="118">
        <f t="shared" si="413"/>
        <v>45940.534297492064</v>
      </c>
      <c r="BD114" s="118">
        <f t="shared" si="413"/>
        <v>47171.427797445678</v>
      </c>
      <c r="BE114" s="118">
        <f t="shared" si="413"/>
        <v>48412.047663908743</v>
      </c>
      <c r="BF114" s="118">
        <f t="shared" ref="BF114:BG114" si="414" xml:space="preserve"> BF112-BF113</f>
        <v>49660.448623579345</v>
      </c>
      <c r="BG114" s="118">
        <f t="shared" si="414"/>
        <v>50918.575949759397</v>
      </c>
      <c r="BH114" s="118">
        <f t="shared" ref="BH114" si="415" xml:space="preserve"> BH112-BH113</f>
        <v>52186.429642448871</v>
      </c>
      <c r="BI114" s="121"/>
    </row>
    <row r="115" spans="1:61" s="119" customFormat="1" x14ac:dyDescent="0.2">
      <c r="A115" s="128" t="s">
        <v>795</v>
      </c>
      <c r="B115" s="192">
        <v>0</v>
      </c>
      <c r="C115" s="197">
        <v>0</v>
      </c>
      <c r="D115" s="125">
        <f xml:space="preserve"> C115 + $B115</f>
        <v>0</v>
      </c>
      <c r="E115" s="125">
        <f t="shared" ref="E115:AO115" si="416" xml:space="preserve"> D115 + $B115</f>
        <v>0</v>
      </c>
      <c r="F115" s="125">
        <f t="shared" si="416"/>
        <v>0</v>
      </c>
      <c r="G115" s="125">
        <f t="shared" si="416"/>
        <v>0</v>
      </c>
      <c r="H115" s="125">
        <f t="shared" si="416"/>
        <v>0</v>
      </c>
      <c r="I115" s="125">
        <f t="shared" si="416"/>
        <v>0</v>
      </c>
      <c r="J115" s="125">
        <f t="shared" si="416"/>
        <v>0</v>
      </c>
      <c r="K115" s="125">
        <f t="shared" si="416"/>
        <v>0</v>
      </c>
      <c r="L115" s="125">
        <f t="shared" si="416"/>
        <v>0</v>
      </c>
      <c r="M115" s="125">
        <f t="shared" si="416"/>
        <v>0</v>
      </c>
      <c r="N115" s="125">
        <f t="shared" si="416"/>
        <v>0</v>
      </c>
      <c r="O115" s="125">
        <f t="shared" si="416"/>
        <v>0</v>
      </c>
      <c r="P115" s="125">
        <f t="shared" si="416"/>
        <v>0</v>
      </c>
      <c r="Q115" s="125">
        <f t="shared" si="416"/>
        <v>0</v>
      </c>
      <c r="R115" s="125">
        <f t="shared" si="416"/>
        <v>0</v>
      </c>
      <c r="S115" s="125">
        <f t="shared" si="416"/>
        <v>0</v>
      </c>
      <c r="T115" s="125">
        <f t="shared" si="416"/>
        <v>0</v>
      </c>
      <c r="U115" s="125">
        <f t="shared" si="416"/>
        <v>0</v>
      </c>
      <c r="V115" s="125">
        <f t="shared" si="416"/>
        <v>0</v>
      </c>
      <c r="W115" s="125">
        <f t="shared" si="416"/>
        <v>0</v>
      </c>
      <c r="X115" s="125">
        <f t="shared" si="416"/>
        <v>0</v>
      </c>
      <c r="Y115" s="125">
        <f t="shared" si="416"/>
        <v>0</v>
      </c>
      <c r="Z115" s="125">
        <f t="shared" si="416"/>
        <v>0</v>
      </c>
      <c r="AA115" s="125">
        <f t="shared" si="416"/>
        <v>0</v>
      </c>
      <c r="AB115" s="125">
        <f t="shared" si="416"/>
        <v>0</v>
      </c>
      <c r="AC115" s="125">
        <f t="shared" si="416"/>
        <v>0</v>
      </c>
      <c r="AD115" s="125">
        <f t="shared" si="416"/>
        <v>0</v>
      </c>
      <c r="AE115" s="125">
        <f t="shared" si="416"/>
        <v>0</v>
      </c>
      <c r="AF115" s="125">
        <f t="shared" si="416"/>
        <v>0</v>
      </c>
      <c r="AG115" s="125">
        <f t="shared" si="416"/>
        <v>0</v>
      </c>
      <c r="AH115" s="125">
        <f t="shared" si="416"/>
        <v>0</v>
      </c>
      <c r="AI115" s="125">
        <f t="shared" si="416"/>
        <v>0</v>
      </c>
      <c r="AJ115" s="125">
        <f t="shared" si="416"/>
        <v>0</v>
      </c>
      <c r="AK115" s="125">
        <f t="shared" si="416"/>
        <v>0</v>
      </c>
      <c r="AL115" s="125">
        <f t="shared" si="416"/>
        <v>0</v>
      </c>
      <c r="AM115" s="125">
        <f t="shared" si="416"/>
        <v>0</v>
      </c>
      <c r="AN115" s="125">
        <f t="shared" si="416"/>
        <v>0</v>
      </c>
      <c r="AO115" s="125">
        <f t="shared" si="416"/>
        <v>0</v>
      </c>
      <c r="AP115" s="125">
        <f t="shared" ref="AP115" si="417" xml:space="preserve"> AO115 + $B115</f>
        <v>0</v>
      </c>
      <c r="AQ115" s="125">
        <f t="shared" ref="AQ115" si="418" xml:space="preserve"> AP115 + $B115</f>
        <v>0</v>
      </c>
      <c r="AR115" s="125">
        <f t="shared" ref="AR115" si="419" xml:space="preserve"> AQ115 + $B115</f>
        <v>0</v>
      </c>
      <c r="AS115" s="125">
        <f t="shared" ref="AS115" si="420" xml:space="preserve"> AR115 + $B115</f>
        <v>0</v>
      </c>
      <c r="AT115" s="125">
        <f t="shared" ref="AT115" si="421" xml:space="preserve"> AS115 + $B115</f>
        <v>0</v>
      </c>
      <c r="AU115" s="125">
        <f t="shared" ref="AU115" si="422" xml:space="preserve"> AT115 + $B115</f>
        <v>0</v>
      </c>
      <c r="AV115" s="125">
        <f t="shared" ref="AV115" si="423" xml:space="preserve"> AU115 + $B115</f>
        <v>0</v>
      </c>
      <c r="AW115" s="125">
        <f t="shared" ref="AW115" si="424" xml:space="preserve"> AV115 + $B115</f>
        <v>0</v>
      </c>
      <c r="AX115" s="125">
        <f t="shared" ref="AX115" si="425" xml:space="preserve"> AW115 + $B115</f>
        <v>0</v>
      </c>
      <c r="AY115" s="125">
        <f t="shared" ref="AY115" si="426" xml:space="preserve"> AX115 + $B115</f>
        <v>0</v>
      </c>
      <c r="AZ115" s="125">
        <f t="shared" ref="AZ115" si="427" xml:space="preserve"> AY115 + $B115</f>
        <v>0</v>
      </c>
      <c r="BA115" s="125">
        <f t="shared" ref="BA115" si="428" xml:space="preserve"> AZ115 + $B115</f>
        <v>0</v>
      </c>
      <c r="BB115" s="125">
        <f t="shared" ref="BB115" si="429" xml:space="preserve"> BA115 + $B115</f>
        <v>0</v>
      </c>
      <c r="BC115" s="125">
        <f t="shared" ref="BC115" si="430" xml:space="preserve"> BB115 + $B115</f>
        <v>0</v>
      </c>
      <c r="BD115" s="125">
        <f t="shared" ref="BD115" si="431" xml:space="preserve"> BC115 + $B115</f>
        <v>0</v>
      </c>
      <c r="BE115" s="125">
        <f t="shared" ref="BE115" si="432" xml:space="preserve"> BD115 + $B115</f>
        <v>0</v>
      </c>
      <c r="BF115" s="125">
        <f t="shared" ref="BF115" si="433" xml:space="preserve"> BE115 + $B115</f>
        <v>0</v>
      </c>
      <c r="BG115" s="125">
        <f t="shared" ref="BG115:BH115" si="434" xml:space="preserve"> BF115 + $B115</f>
        <v>0</v>
      </c>
      <c r="BH115" s="125">
        <f t="shared" si="434"/>
        <v>0</v>
      </c>
      <c r="BI115" s="120"/>
    </row>
    <row r="116" spans="1:61" s="80" customFormat="1" x14ac:dyDescent="0.2">
      <c r="A116" s="193" t="s">
        <v>797</v>
      </c>
      <c r="B116" s="194"/>
      <c r="C116" s="126">
        <f xml:space="preserve"> C114 * C115</f>
        <v>0</v>
      </c>
      <c r="D116" s="126">
        <f t="shared" ref="D116" si="435" xml:space="preserve"> D114 * D115</f>
        <v>0</v>
      </c>
      <c r="E116" s="126">
        <f t="shared" ref="E116" si="436" xml:space="preserve"> E114 * E115</f>
        <v>0</v>
      </c>
      <c r="F116" s="126">
        <f t="shared" ref="F116" si="437" xml:space="preserve"> F114 * F115</f>
        <v>0</v>
      </c>
      <c r="G116" s="126">
        <f t="shared" ref="G116" si="438" xml:space="preserve"> G114 * G115</f>
        <v>0</v>
      </c>
      <c r="H116" s="126">
        <f t="shared" ref="H116" si="439" xml:space="preserve"> H114 * H115</f>
        <v>0</v>
      </c>
      <c r="I116" s="126">
        <f xml:space="preserve"> I114 * I115</f>
        <v>0</v>
      </c>
      <c r="J116" s="126">
        <f t="shared" ref="J116" si="440" xml:space="preserve"> J114 * J115</f>
        <v>0</v>
      </c>
      <c r="K116" s="126">
        <f t="shared" ref="K116" si="441" xml:space="preserve"> K114 * K115</f>
        <v>0</v>
      </c>
      <c r="L116" s="126">
        <f t="shared" ref="L116" si="442" xml:space="preserve"> L114 * L115</f>
        <v>0</v>
      </c>
      <c r="M116" s="126">
        <f t="shared" ref="M116" si="443" xml:space="preserve"> M114 * M115</f>
        <v>0</v>
      </c>
      <c r="N116" s="126">
        <f t="shared" ref="N116" si="444" xml:space="preserve"> N114 * N115</f>
        <v>0</v>
      </c>
      <c r="O116" s="126">
        <f t="shared" ref="O116" si="445" xml:space="preserve"> O114 * O115</f>
        <v>0</v>
      </c>
      <c r="P116" s="126">
        <f t="shared" ref="P116" si="446" xml:space="preserve"> P114 * P115</f>
        <v>0</v>
      </c>
      <c r="Q116" s="126">
        <f t="shared" ref="Q116" si="447" xml:space="preserve"> Q114 * Q115</f>
        <v>0</v>
      </c>
      <c r="R116" s="126">
        <f t="shared" ref="R116" si="448" xml:space="preserve"> R114 * R115</f>
        <v>0</v>
      </c>
      <c r="S116" s="126">
        <f t="shared" ref="S116" si="449" xml:space="preserve"> S114 * S115</f>
        <v>0</v>
      </c>
      <c r="T116" s="126">
        <f t="shared" ref="T116" si="450" xml:space="preserve"> T114 * T115</f>
        <v>0</v>
      </c>
      <c r="U116" s="126">
        <f t="shared" ref="U116" si="451" xml:space="preserve"> U114 * U115</f>
        <v>0</v>
      </c>
      <c r="V116" s="126">
        <f t="shared" ref="V116" si="452" xml:space="preserve"> V114 * V115</f>
        <v>0</v>
      </c>
      <c r="W116" s="126">
        <f t="shared" ref="W116" si="453" xml:space="preserve"> W114 * W115</f>
        <v>0</v>
      </c>
      <c r="X116" s="126">
        <f t="shared" ref="X116" si="454" xml:space="preserve"> X114 * X115</f>
        <v>0</v>
      </c>
      <c r="Y116" s="126">
        <f t="shared" ref="Y116" si="455" xml:space="preserve"> Y114 * Y115</f>
        <v>0</v>
      </c>
      <c r="Z116" s="126">
        <f t="shared" ref="Z116" si="456" xml:space="preserve"> Z114 * Z115</f>
        <v>0</v>
      </c>
      <c r="AA116" s="126">
        <f t="shared" ref="AA116" si="457" xml:space="preserve"> AA114 * AA115</f>
        <v>0</v>
      </c>
      <c r="AB116" s="126">
        <f t="shared" ref="AB116" si="458" xml:space="preserve"> AB114 * AB115</f>
        <v>0</v>
      </c>
      <c r="AC116" s="126">
        <f t="shared" ref="AC116" si="459" xml:space="preserve"> AC114 * AC115</f>
        <v>0</v>
      </c>
      <c r="AD116" s="126">
        <f t="shared" ref="AD116" si="460" xml:space="preserve"> AD114 * AD115</f>
        <v>0</v>
      </c>
      <c r="AE116" s="126">
        <f t="shared" ref="AE116" si="461" xml:space="preserve"> AE114 * AE115</f>
        <v>0</v>
      </c>
      <c r="AF116" s="126">
        <f t="shared" ref="AF116" si="462" xml:space="preserve"> AF114 * AF115</f>
        <v>0</v>
      </c>
      <c r="AG116" s="126">
        <f t="shared" ref="AG116" si="463" xml:space="preserve"> AG114 * AG115</f>
        <v>0</v>
      </c>
      <c r="AH116" s="126">
        <f t="shared" ref="AH116" si="464" xml:space="preserve"> AH114 * AH115</f>
        <v>0</v>
      </c>
      <c r="AI116" s="126">
        <f t="shared" ref="AI116" si="465" xml:space="preserve"> AI114 * AI115</f>
        <v>0</v>
      </c>
      <c r="AJ116" s="126">
        <f t="shared" ref="AJ116" si="466" xml:space="preserve"> AJ114 * AJ115</f>
        <v>0</v>
      </c>
      <c r="AK116" s="126">
        <f t="shared" ref="AK116" si="467" xml:space="preserve"> AK114 * AK115</f>
        <v>0</v>
      </c>
      <c r="AL116" s="126">
        <f t="shared" ref="AL116" si="468" xml:space="preserve"> AL114 * AL115</f>
        <v>0</v>
      </c>
      <c r="AM116" s="126">
        <f t="shared" ref="AM116:AN116" si="469" xml:space="preserve"> AM114 * AM115</f>
        <v>0</v>
      </c>
      <c r="AN116" s="126">
        <f t="shared" si="469"/>
        <v>0</v>
      </c>
      <c r="AO116" s="126">
        <f t="shared" ref="AO116:AQ116" si="470" xml:space="preserve"> AO114 * AO115</f>
        <v>0</v>
      </c>
      <c r="AP116" s="126">
        <f t="shared" si="470"/>
        <v>0</v>
      </c>
      <c r="AQ116" s="126">
        <f t="shared" si="470"/>
        <v>0</v>
      </c>
      <c r="AR116" s="126">
        <f t="shared" ref="AR116:AT116" si="471" xml:space="preserve"> AR114 * AR115</f>
        <v>0</v>
      </c>
      <c r="AS116" s="126">
        <f t="shared" si="471"/>
        <v>0</v>
      </c>
      <c r="AT116" s="126">
        <f t="shared" si="471"/>
        <v>0</v>
      </c>
      <c r="AU116" s="126">
        <f t="shared" ref="AU116:AZ116" si="472" xml:space="preserve"> AU114 * AU115</f>
        <v>0</v>
      </c>
      <c r="AV116" s="126">
        <f t="shared" si="472"/>
        <v>0</v>
      </c>
      <c r="AW116" s="126">
        <f t="shared" si="472"/>
        <v>0</v>
      </c>
      <c r="AX116" s="126">
        <f t="shared" si="472"/>
        <v>0</v>
      </c>
      <c r="AY116" s="126">
        <f t="shared" si="472"/>
        <v>0</v>
      </c>
      <c r="AZ116" s="126">
        <f t="shared" si="472"/>
        <v>0</v>
      </c>
      <c r="BA116" s="126">
        <f t="shared" ref="BA116:BF116" si="473" xml:space="preserve"> BA114 * BA115</f>
        <v>0</v>
      </c>
      <c r="BB116" s="126">
        <f t="shared" si="473"/>
        <v>0</v>
      </c>
      <c r="BC116" s="126">
        <f t="shared" si="473"/>
        <v>0</v>
      </c>
      <c r="BD116" s="126">
        <f t="shared" si="473"/>
        <v>0</v>
      </c>
      <c r="BE116" s="126">
        <f t="shared" si="473"/>
        <v>0</v>
      </c>
      <c r="BF116" s="126">
        <f t="shared" si="473"/>
        <v>0</v>
      </c>
      <c r="BG116" s="126">
        <f t="shared" ref="BG116:BH116" si="474" xml:space="preserve"> BG114 * BG115</f>
        <v>0</v>
      </c>
      <c r="BH116" s="126">
        <f t="shared" si="474"/>
        <v>0</v>
      </c>
      <c r="BI116" s="106"/>
    </row>
    <row r="117" spans="1:61" s="113" customFormat="1" x14ac:dyDescent="0.2">
      <c r="A117" s="113" t="s">
        <v>813</v>
      </c>
      <c r="B117" s="204"/>
      <c r="C117" s="115">
        <f xml:space="preserve"> 1.25 * C112</f>
        <v>0</v>
      </c>
      <c r="D117" s="115">
        <f t="shared" ref="D117:BH117" si="475" xml:space="preserve"> 1.25 * D112</f>
        <v>0</v>
      </c>
      <c r="E117" s="115">
        <f t="shared" si="475"/>
        <v>0</v>
      </c>
      <c r="F117" s="115">
        <f t="shared" si="475"/>
        <v>0</v>
      </c>
      <c r="G117" s="115">
        <f t="shared" si="475"/>
        <v>0</v>
      </c>
      <c r="H117" s="115">
        <f t="shared" si="475"/>
        <v>477.02010437523677</v>
      </c>
      <c r="I117" s="115">
        <f t="shared" si="475"/>
        <v>1431.0603131257103</v>
      </c>
      <c r="J117" s="115">
        <f t="shared" si="475"/>
        <v>2871.5611431388088</v>
      </c>
      <c r="K117" s="115">
        <f t="shared" si="475"/>
        <v>4798.5225944145313</v>
      </c>
      <c r="L117" s="115">
        <f t="shared" si="475"/>
        <v>7211.9446669528788</v>
      </c>
      <c r="M117" s="115">
        <f t="shared" si="475"/>
        <v>10121.267877641241</v>
      </c>
      <c r="N117" s="115">
        <f t="shared" si="475"/>
        <v>13535.932743367002</v>
      </c>
      <c r="O117" s="115">
        <f t="shared" si="475"/>
        <v>17446.498747242775</v>
      </c>
      <c r="P117" s="115">
        <f t="shared" si="475"/>
        <v>21862.406406155951</v>
      </c>
      <c r="Q117" s="115">
        <f t="shared" si="475"/>
        <v>26316.076132618677</v>
      </c>
      <c r="R117" s="115">
        <f t="shared" si="475"/>
        <v>30807.507926630955</v>
      </c>
      <c r="S117" s="115">
        <f t="shared" si="475"/>
        <v>35327.261271305404</v>
      </c>
      <c r="T117" s="115">
        <f t="shared" si="475"/>
        <v>39884.776683529402</v>
      </c>
      <c r="U117" s="115">
        <f t="shared" si="475"/>
        <v>44470.613646415557</v>
      </c>
      <c r="V117" s="115">
        <f t="shared" si="475"/>
        <v>49094.212676851275</v>
      </c>
      <c r="W117" s="115">
        <f t="shared" si="475"/>
        <v>53755.573774836528</v>
      </c>
      <c r="X117" s="115">
        <f t="shared" si="475"/>
        <v>58454.696940371359</v>
      </c>
      <c r="Y117" s="115">
        <f t="shared" si="475"/>
        <v>63182.141656568332</v>
      </c>
      <c r="Z117" s="115">
        <f t="shared" si="475"/>
        <v>67947.348440314876</v>
      </c>
      <c r="AA117" s="115">
        <f t="shared" si="475"/>
        <v>72750.317291610962</v>
      </c>
      <c r="AB117" s="115">
        <f t="shared" si="475"/>
        <v>77591.048210456589</v>
      </c>
      <c r="AC117" s="115">
        <f t="shared" si="475"/>
        <v>82469.541196851787</v>
      </c>
      <c r="AD117" s="115">
        <f t="shared" si="475"/>
        <v>87376.355733909135</v>
      </c>
      <c r="AE117" s="115">
        <f t="shared" si="475"/>
        <v>92320.932338516053</v>
      </c>
      <c r="AF117" s="115">
        <f t="shared" si="475"/>
        <v>97303.271010672499</v>
      </c>
      <c r="AG117" s="115">
        <f t="shared" si="475"/>
        <v>102323.37175037852</v>
      </c>
      <c r="AH117" s="115">
        <f t="shared" si="475"/>
        <v>107381.23455763409</v>
      </c>
      <c r="AI117" s="115">
        <f t="shared" si="475"/>
        <v>112476.8594324392</v>
      </c>
      <c r="AJ117" s="115">
        <f t="shared" si="475"/>
        <v>117610.24637479386</v>
      </c>
      <c r="AK117" s="115">
        <f t="shared" si="475"/>
        <v>122790.83590158547</v>
      </c>
      <c r="AL117" s="115">
        <f t="shared" si="475"/>
        <v>128009.18749592663</v>
      </c>
      <c r="AM117" s="115">
        <f t="shared" si="475"/>
        <v>133265.30115781736</v>
      </c>
      <c r="AN117" s="115">
        <f t="shared" si="475"/>
        <v>138559.17688725761</v>
      </c>
      <c r="AO117" s="115">
        <f t="shared" si="475"/>
        <v>143890.81468424742</v>
      </c>
      <c r="AP117" s="115">
        <f t="shared" si="475"/>
        <v>149269.65506567419</v>
      </c>
      <c r="AQ117" s="115">
        <f t="shared" si="475"/>
        <v>154686.2575146505</v>
      </c>
      <c r="AR117" s="115">
        <f t="shared" si="475"/>
        <v>160140.62203117635</v>
      </c>
      <c r="AS117" s="115">
        <f t="shared" si="475"/>
        <v>165642.18913213914</v>
      </c>
      <c r="AT117" s="115">
        <f t="shared" si="475"/>
        <v>171181.51830065151</v>
      </c>
      <c r="AU117" s="115">
        <f t="shared" si="475"/>
        <v>176758.6095367134</v>
      </c>
      <c r="AV117" s="115">
        <f t="shared" si="475"/>
        <v>182382.90335721226</v>
      </c>
      <c r="AW117" s="115">
        <f t="shared" si="475"/>
        <v>188044.95924526066</v>
      </c>
      <c r="AX117" s="115">
        <f t="shared" si="475"/>
        <v>193754.21771774595</v>
      </c>
      <c r="AY117" s="115">
        <f t="shared" si="475"/>
        <v>199510.67877466822</v>
      </c>
      <c r="AZ117" s="115">
        <f t="shared" si="475"/>
        <v>205304.90189914007</v>
      </c>
      <c r="BA117" s="115">
        <f t="shared" si="475"/>
        <v>211146.32760804886</v>
      </c>
      <c r="BB117" s="115">
        <f t="shared" si="475"/>
        <v>217025.51538450716</v>
      </c>
      <c r="BC117" s="115">
        <f t="shared" si="475"/>
        <v>222951.90574540247</v>
      </c>
      <c r="BD117" s="115">
        <f t="shared" si="475"/>
        <v>228925.49869073468</v>
      </c>
      <c r="BE117" s="115">
        <f t="shared" si="475"/>
        <v>234946.29422050383</v>
      </c>
      <c r="BF117" s="115">
        <f t="shared" si="475"/>
        <v>241004.85181782252</v>
      </c>
      <c r="BG117" s="115">
        <f t="shared" si="475"/>
        <v>247110.61199957819</v>
      </c>
      <c r="BH117" s="115">
        <f t="shared" si="475"/>
        <v>253263.57476577075</v>
      </c>
      <c r="BI117" s="205"/>
    </row>
    <row r="118" spans="1:61" s="104" customFormat="1" x14ac:dyDescent="0.2">
      <c r="A118" s="132"/>
      <c r="B118" s="165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05"/>
    </row>
    <row r="119" spans="1:61" s="119" customFormat="1" x14ac:dyDescent="0.2">
      <c r="A119" s="128" t="s">
        <v>839</v>
      </c>
      <c r="B119" s="162"/>
      <c r="C119" s="118">
        <f xml:space="preserve"> C46 - C51 + C114</f>
        <v>0</v>
      </c>
      <c r="D119" s="118">
        <f t="shared" ref="D119:L119" si="476" xml:space="preserve"> D46 - D51 + D114</f>
        <v>0</v>
      </c>
      <c r="E119" s="118">
        <f t="shared" si="476"/>
        <v>0</v>
      </c>
      <c r="F119" s="118">
        <f t="shared" si="476"/>
        <v>0</v>
      </c>
      <c r="G119" s="118">
        <f t="shared" si="476"/>
        <v>42565.155663015394</v>
      </c>
      <c r="H119" s="118">
        <f t="shared" si="476"/>
        <v>85228.604087388332</v>
      </c>
      <c r="I119" s="118">
        <f t="shared" si="476"/>
        <v>127990.34527311883</v>
      </c>
      <c r="J119" s="118">
        <f t="shared" si="476"/>
        <v>170852.32449350876</v>
      </c>
      <c r="K119" s="118">
        <f t="shared" si="476"/>
        <v>213814.54174855811</v>
      </c>
      <c r="L119" s="118">
        <f t="shared" si="476"/>
        <v>256876.99703826691</v>
      </c>
      <c r="M119" s="118">
        <f t="shared" ref="M119:BH119" si="477" xml:space="preserve"> M46 - M51 + M114</f>
        <v>300041.63563593704</v>
      </c>
      <c r="N119" s="118">
        <f t="shared" si="477"/>
        <v>343310.40281487035</v>
      </c>
      <c r="O119" s="118">
        <f t="shared" si="477"/>
        <v>386681.35330176499</v>
      </c>
      <c r="P119" s="118">
        <f t="shared" si="477"/>
        <v>387591.27670690749</v>
      </c>
      <c r="Q119" s="118">
        <f t="shared" si="477"/>
        <v>388508.98120525747</v>
      </c>
      <c r="R119" s="118">
        <f t="shared" si="477"/>
        <v>389434.46679681505</v>
      </c>
      <c r="S119" s="118">
        <f t="shared" si="477"/>
        <v>390365.78820827825</v>
      </c>
      <c r="T119" s="118">
        <f t="shared" si="477"/>
        <v>391304.89071294898</v>
      </c>
      <c r="U119" s="118">
        <f t="shared" si="477"/>
        <v>392249.8290375254</v>
      </c>
      <c r="V119" s="118">
        <f t="shared" si="477"/>
        <v>393202.54845530936</v>
      </c>
      <c r="W119" s="118">
        <f t="shared" si="477"/>
        <v>394163.04896630085</v>
      </c>
      <c r="X119" s="118">
        <f t="shared" si="477"/>
        <v>395131.33057049988</v>
      </c>
      <c r="Y119" s="118">
        <f t="shared" si="477"/>
        <v>396105.44799460459</v>
      </c>
      <c r="Z119" s="118">
        <f t="shared" si="477"/>
        <v>397087.34651191684</v>
      </c>
      <c r="AA119" s="118">
        <f t="shared" si="477"/>
        <v>398077.02612243663</v>
      </c>
      <c r="AB119" s="118">
        <f t="shared" si="477"/>
        <v>399074.48682616395</v>
      </c>
      <c r="AC119" s="118">
        <f t="shared" si="477"/>
        <v>400079.72862309881</v>
      </c>
      <c r="AD119" s="118">
        <f t="shared" si="477"/>
        <v>401090.80623993935</v>
      </c>
      <c r="AE119" s="118">
        <f t="shared" si="477"/>
        <v>402109.66494998743</v>
      </c>
      <c r="AF119" s="118">
        <f t="shared" si="477"/>
        <v>403136.30475324305</v>
      </c>
      <c r="AG119" s="118">
        <f t="shared" si="477"/>
        <v>404170.7256497062</v>
      </c>
      <c r="AH119" s="118">
        <f t="shared" si="477"/>
        <v>405212.9276393769</v>
      </c>
      <c r="AI119" s="118">
        <f t="shared" si="477"/>
        <v>406262.91072225518</v>
      </c>
      <c r="AJ119" s="118">
        <f t="shared" si="477"/>
        <v>407320.67489834095</v>
      </c>
      <c r="AK119" s="118">
        <f t="shared" si="477"/>
        <v>408388.16544093617</v>
      </c>
      <c r="AL119" s="118">
        <f t="shared" si="477"/>
        <v>409463.43707673892</v>
      </c>
      <c r="AM119" s="118">
        <f t="shared" si="477"/>
        <v>410546.48980574927</v>
      </c>
      <c r="AN119" s="118">
        <f t="shared" si="477"/>
        <v>411637.3236279671</v>
      </c>
      <c r="AO119" s="118">
        <f t="shared" si="477"/>
        <v>412735.93854339246</v>
      </c>
      <c r="AP119" s="118">
        <f t="shared" si="477"/>
        <v>413844.27982532734</v>
      </c>
      <c r="AQ119" s="118">
        <f t="shared" si="477"/>
        <v>414960.40220046969</v>
      </c>
      <c r="AR119" s="118">
        <f t="shared" si="477"/>
        <v>416084.30566881958</v>
      </c>
      <c r="AS119" s="118">
        <f t="shared" si="477"/>
        <v>417217.93550367892</v>
      </c>
      <c r="AT119" s="118">
        <f t="shared" si="477"/>
        <v>418359.3464317458</v>
      </c>
      <c r="AU119" s="118">
        <f t="shared" si="477"/>
        <v>419508.53845302021</v>
      </c>
      <c r="AV119" s="118">
        <f t="shared" si="477"/>
        <v>420667.45684080408</v>
      </c>
      <c r="AW119" s="118">
        <f t="shared" si="477"/>
        <v>421834.15632179548</v>
      </c>
      <c r="AX119" s="118">
        <f t="shared" si="477"/>
        <v>423010.58216929634</v>
      </c>
      <c r="AY119" s="118">
        <f t="shared" si="477"/>
        <v>424196.73438330658</v>
      </c>
      <c r="AZ119" s="118">
        <f t="shared" si="477"/>
        <v>425390.66769052437</v>
      </c>
      <c r="BA119" s="118">
        <f t="shared" si="477"/>
        <v>426594.3273642516</v>
      </c>
      <c r="BB119" s="118">
        <f t="shared" si="477"/>
        <v>427805.76813118637</v>
      </c>
      <c r="BC119" s="118">
        <f t="shared" si="477"/>
        <v>429026.93526463059</v>
      </c>
      <c r="BD119" s="118">
        <f t="shared" si="477"/>
        <v>430257.82876458421</v>
      </c>
      <c r="BE119" s="118">
        <f t="shared" si="477"/>
        <v>431498.44863104727</v>
      </c>
      <c r="BF119" s="118">
        <f t="shared" si="477"/>
        <v>432746.84959071787</v>
      </c>
      <c r="BG119" s="118">
        <f t="shared" si="477"/>
        <v>434004.97691689793</v>
      </c>
      <c r="BH119" s="118">
        <f t="shared" si="477"/>
        <v>435272.83060958737</v>
      </c>
      <c r="BI119" s="121"/>
    </row>
    <row r="120" spans="1:61" s="129" customFormat="1" x14ac:dyDescent="0.2">
      <c r="A120" s="134" t="s">
        <v>819</v>
      </c>
      <c r="B120" s="166"/>
      <c r="C120" s="130">
        <f xml:space="preserve"> C114/68*12</f>
        <v>0</v>
      </c>
      <c r="D120" s="130">
        <f t="shared" ref="D120:BH120" si="478" xml:space="preserve"> D114/68*12</f>
        <v>0</v>
      </c>
      <c r="E120" s="130">
        <f t="shared" si="478"/>
        <v>0</v>
      </c>
      <c r="F120" s="130">
        <f t="shared" si="478"/>
        <v>0</v>
      </c>
      <c r="G120" s="130">
        <f t="shared" si="478"/>
        <v>0</v>
      </c>
      <c r="H120" s="130">
        <f t="shared" si="478"/>
        <v>17.345781416038221</v>
      </c>
      <c r="I120" s="130">
        <f t="shared" si="478"/>
        <v>52.037344248114664</v>
      </c>
      <c r="J120" s="130">
        <f t="shared" si="478"/>
        <v>104.41797202009155</v>
      </c>
      <c r="K120" s="130">
        <f t="shared" si="478"/>
        <v>174.48766473196878</v>
      </c>
      <c r="L120" s="130">
        <f t="shared" si="478"/>
        <v>262.24642238374645</v>
      </c>
      <c r="M120" s="130">
        <f t="shared" si="478"/>
        <v>368.03752849928696</v>
      </c>
      <c r="N120" s="130">
        <f t="shared" si="478"/>
        <v>492.20426660245198</v>
      </c>
      <c r="O120" s="130">
        <f t="shared" si="478"/>
        <v>634.40335316938001</v>
      </c>
      <c r="P120" s="130">
        <f t="shared" si="478"/>
        <v>794.97807172393232</v>
      </c>
      <c r="Q120" s="130">
        <f t="shared" si="478"/>
        <v>956.92592437393387</v>
      </c>
      <c r="R120" s="130">
        <f t="shared" si="478"/>
        <v>1120.2469111193841</v>
      </c>
      <c r="S120" s="130">
        <f t="shared" si="478"/>
        <v>1284.5977484364212</v>
      </c>
      <c r="T120" s="130">
        <f t="shared" si="478"/>
        <v>1450.3217198489074</v>
      </c>
      <c r="U120" s="130">
        <f t="shared" si="478"/>
        <v>1617.0755418329791</v>
      </c>
      <c r="V120" s="130">
        <f t="shared" si="478"/>
        <v>1785.2024979125017</v>
      </c>
      <c r="W120" s="130">
        <f t="shared" si="478"/>
        <v>1954.7025880874708</v>
      </c>
      <c r="X120" s="130">
        <f t="shared" si="478"/>
        <v>2125.5758123578903</v>
      </c>
      <c r="Y120" s="130">
        <f t="shared" si="478"/>
        <v>2297.4788871998958</v>
      </c>
      <c r="Z120" s="130">
        <f t="shared" si="478"/>
        <v>2470.7550961373504</v>
      </c>
      <c r="AA120" s="130">
        <f t="shared" si="478"/>
        <v>2645.4044391702537</v>
      </c>
      <c r="AB120" s="130">
        <f t="shared" si="478"/>
        <v>2821.4269162986047</v>
      </c>
      <c r="AC120" s="130">
        <f t="shared" si="478"/>
        <v>2998.8225275224077</v>
      </c>
      <c r="AD120" s="130">
        <f t="shared" si="478"/>
        <v>3177.2479893177938</v>
      </c>
      <c r="AE120" s="130">
        <f t="shared" si="478"/>
        <v>3357.0465852086318</v>
      </c>
      <c r="AF120" s="130">
        <f t="shared" si="478"/>
        <v>3538.2183151949157</v>
      </c>
      <c r="AG120" s="130">
        <f t="shared" si="478"/>
        <v>3720.7631792766497</v>
      </c>
      <c r="AH120" s="130">
        <f t="shared" si="478"/>
        <v>3904.6811774538337</v>
      </c>
      <c r="AI120" s="130">
        <f t="shared" si="478"/>
        <v>4089.9723097264659</v>
      </c>
      <c r="AJ120" s="130">
        <f t="shared" si="478"/>
        <v>4276.6365760945446</v>
      </c>
      <c r="AK120" s="130">
        <f t="shared" si="478"/>
        <v>4465.0172600819387</v>
      </c>
      <c r="AL120" s="130">
        <f t="shared" si="478"/>
        <v>4654.7710781647802</v>
      </c>
      <c r="AM120" s="130">
        <f t="shared" si="478"/>
        <v>4845.898030343069</v>
      </c>
      <c r="AN120" s="130">
        <f t="shared" si="478"/>
        <v>5038.398116616806</v>
      </c>
      <c r="AO120" s="130">
        <f t="shared" si="478"/>
        <v>5232.2713369859939</v>
      </c>
      <c r="AP120" s="130">
        <f t="shared" si="478"/>
        <v>5427.8609749744928</v>
      </c>
      <c r="AQ120" s="130">
        <f t="shared" si="478"/>
        <v>5624.8237470584372</v>
      </c>
      <c r="AR120" s="130">
        <f t="shared" si="478"/>
        <v>5823.1596532378353</v>
      </c>
      <c r="AS120" s="130">
        <f t="shared" si="478"/>
        <v>6023.2119770365398</v>
      </c>
      <c r="AT120" s="130">
        <f t="shared" si="478"/>
        <v>6224.6374349306971</v>
      </c>
      <c r="AU120" s="130">
        <f t="shared" si="478"/>
        <v>6427.4360269202998</v>
      </c>
      <c r="AV120" s="130">
        <f t="shared" si="478"/>
        <v>6631.9510365292172</v>
      </c>
      <c r="AW120" s="130">
        <f t="shared" si="478"/>
        <v>6837.83918023358</v>
      </c>
      <c r="AX120" s="130">
        <f t="shared" si="478"/>
        <v>7045.4437415572556</v>
      </c>
      <c r="AY120" s="130">
        <f t="shared" si="478"/>
        <v>7254.7647205002431</v>
      </c>
      <c r="AZ120" s="130">
        <f t="shared" si="478"/>
        <v>7465.458833538677</v>
      </c>
      <c r="BA120" s="130">
        <f t="shared" si="478"/>
        <v>7677.8693641964237</v>
      </c>
      <c r="BB120" s="130">
        <f t="shared" si="478"/>
        <v>7891.6530289496168</v>
      </c>
      <c r="BC120" s="130">
        <f t="shared" si="478"/>
        <v>8107.1531113221281</v>
      </c>
      <c r="BD120" s="130">
        <f t="shared" si="478"/>
        <v>8324.3696113139431</v>
      </c>
      <c r="BE120" s="130">
        <f t="shared" si="478"/>
        <v>8543.3025289250727</v>
      </c>
      <c r="BF120" s="130">
        <f t="shared" si="478"/>
        <v>8763.6085806316496</v>
      </c>
      <c r="BG120" s="130">
        <f t="shared" si="478"/>
        <v>8985.6310499575411</v>
      </c>
      <c r="BH120" s="130">
        <f t="shared" si="478"/>
        <v>9209.3699369027418</v>
      </c>
      <c r="BI120" s="131"/>
    </row>
    <row r="121" spans="1:61" s="151" customFormat="1" x14ac:dyDescent="0.2">
      <c r="A121" s="148" t="s">
        <v>794</v>
      </c>
      <c r="B121" s="167"/>
      <c r="C121" s="149">
        <f t="shared" ref="C121:AM121" si="479" xml:space="preserve"> C26 + C78 + C120 + 640 *  C104</f>
        <v>0</v>
      </c>
      <c r="D121" s="149">
        <f t="shared" si="479"/>
        <v>0</v>
      </c>
      <c r="E121" s="149">
        <f t="shared" si="479"/>
        <v>0</v>
      </c>
      <c r="F121" s="149">
        <f xml:space="preserve"> F26 + F78 + F120 + 640 *  F104</f>
        <v>0</v>
      </c>
      <c r="G121" s="149">
        <f t="shared" si="479"/>
        <v>73.928286597710397</v>
      </c>
      <c r="H121" s="149">
        <f t="shared" si="479"/>
        <v>358.82911481297157</v>
      </c>
      <c r="I121" s="149">
        <f t="shared" si="479"/>
        <v>878.98345227548111</v>
      </c>
      <c r="J121" s="149">
        <f t="shared" si="479"/>
        <v>1634.3744969183913</v>
      </c>
      <c r="K121" s="149">
        <f t="shared" si="479"/>
        <v>2625.0022487417018</v>
      </c>
      <c r="L121" s="149">
        <f t="shared" si="479"/>
        <v>3875.1476753751103</v>
      </c>
      <c r="M121" s="149">
        <f t="shared" si="479"/>
        <v>5369.6768717932237</v>
      </c>
      <c r="N121" s="149">
        <f t="shared" si="479"/>
        <v>7261.5833859465911</v>
      </c>
      <c r="O121" s="149">
        <f t="shared" si="479"/>
        <v>9397.8736698846624</v>
      </c>
      <c r="P121" s="149">
        <f t="shared" si="479"/>
        <v>11551.592284925482</v>
      </c>
      <c r="Q121" s="149">
        <f t="shared" si="479"/>
        <v>13723.57142104121</v>
      </c>
      <c r="R121" s="149">
        <f t="shared" si="479"/>
        <v>15909.229145896275</v>
      </c>
      <c r="S121" s="149">
        <f t="shared" si="479"/>
        <v>18113.164193893099</v>
      </c>
      <c r="T121" s="149">
        <f t="shared" si="479"/>
        <v>20330.77783062926</v>
      </c>
      <c r="U121" s="149">
        <f t="shared" si="479"/>
        <v>22566.668790507174</v>
      </c>
      <c r="V121" s="149">
        <f t="shared" si="479"/>
        <v>24820.820271460008</v>
      </c>
      <c r="W121" s="149">
        <f t="shared" si="479"/>
        <v>27093.232273487745</v>
      </c>
      <c r="X121" s="149">
        <f t="shared" si="479"/>
        <v>29379.322864254824</v>
      </c>
      <c r="Y121" s="149">
        <f t="shared" si="479"/>
        <v>31683.690778163658</v>
      </c>
      <c r="Z121" s="149">
        <f t="shared" si="479"/>
        <v>34006.319213147406</v>
      </c>
      <c r="AA121" s="149">
        <f t="shared" si="479"/>
        <v>36347.20816920606</v>
      </c>
      <c r="AB121" s="149">
        <f t="shared" si="479"/>
        <v>38706.357646339631</v>
      </c>
      <c r="AC121" s="149">
        <f t="shared" si="479"/>
        <v>41079.185712212537</v>
      </c>
      <c r="AD121" s="149">
        <f t="shared" si="479"/>
        <v>43470.291101227194</v>
      </c>
      <c r="AE121" s="149">
        <f t="shared" si="479"/>
        <v>45879.657011316769</v>
      </c>
      <c r="AF121" s="149">
        <f t="shared" si="479"/>
        <v>48307.283442481254</v>
      </c>
      <c r="AG121" s="149">
        <f t="shared" si="479"/>
        <v>50753.170394720655</v>
      </c>
      <c r="AH121" s="149">
        <f t="shared" si="479"/>
        <v>53217.317868034967</v>
      </c>
      <c r="AI121" s="149">
        <f t="shared" si="479"/>
        <v>55699.72586242418</v>
      </c>
      <c r="AJ121" s="149">
        <f t="shared" si="479"/>
        <v>58204.976310223879</v>
      </c>
      <c r="AK121" s="149">
        <f t="shared" si="479"/>
        <v>60728.470477031653</v>
      </c>
      <c r="AL121" s="149">
        <f t="shared" si="479"/>
        <v>63270.225164914336</v>
      </c>
      <c r="AM121" s="149">
        <f t="shared" si="479"/>
        <v>65830.240373871929</v>
      </c>
      <c r="AN121" s="149">
        <f t="shared" ref="AN121:AP121" si="480" xml:space="preserve"> AN26 + AN78 + AN120 + 640 *  AN104</f>
        <v>68408.516103904432</v>
      </c>
      <c r="AO121" s="149">
        <f t="shared" si="480"/>
        <v>71009.63428734742</v>
      </c>
      <c r="AP121" s="149">
        <f t="shared" si="480"/>
        <v>73628.996189798476</v>
      </c>
      <c r="AQ121" s="149">
        <f t="shared" ref="AQ121:AS121" si="481" xml:space="preserve"> AQ26 + AQ78 + AQ120 + 640 *  AQ104</f>
        <v>76266.618613324419</v>
      </c>
      <c r="AR121" s="149">
        <f t="shared" si="481"/>
        <v>78927.083490260891</v>
      </c>
      <c r="AS121" s="149">
        <f t="shared" si="481"/>
        <v>81605.792086205387</v>
      </c>
      <c r="AT121" s="149">
        <f t="shared" ref="AT121:AY121" si="482" xml:space="preserve"> AT26 + AT78 + AT120 + 640 *  AT104</f>
        <v>84302.761203224814</v>
      </c>
      <c r="AU121" s="149">
        <f t="shared" si="482"/>
        <v>87022.572773654727</v>
      </c>
      <c r="AV121" s="149">
        <f t="shared" si="482"/>
        <v>89760.628063092707</v>
      </c>
      <c r="AW121" s="149">
        <f t="shared" si="482"/>
        <v>92521.525805941157</v>
      </c>
      <c r="AX121" s="149">
        <f t="shared" si="482"/>
        <v>95305.249200133243</v>
      </c>
      <c r="AY121" s="149">
        <f t="shared" si="482"/>
        <v>98107.216313333411</v>
      </c>
      <c r="AZ121" s="149">
        <f t="shared" ref="AZ121:BE121" si="483" xml:space="preserve"> AZ26 + AZ78 + AZ120 + 640 *  AZ104</f>
        <v>100932.02587994405</v>
      </c>
      <c r="BA121" s="149">
        <f t="shared" si="483"/>
        <v>103775.07916556277</v>
      </c>
      <c r="BB121" s="149">
        <f t="shared" si="483"/>
        <v>106640.97490459197</v>
      </c>
      <c r="BC121" s="149">
        <f t="shared" si="483"/>
        <v>109529.69629496483</v>
      </c>
      <c r="BD121" s="149">
        <f t="shared" si="483"/>
        <v>112441.24333668131</v>
      </c>
      <c r="BE121" s="149">
        <f t="shared" si="483"/>
        <v>115371.03409740586</v>
      </c>
      <c r="BF121" s="149">
        <f t="shared" ref="BF121:BG121" si="484" xml:space="preserve"> BF26 + BF78 + BF120 + 640 *  BF104</f>
        <v>118323.66731154089</v>
      </c>
      <c r="BG121" s="149">
        <f t="shared" si="484"/>
        <v>121299.12617701956</v>
      </c>
      <c r="BH121" s="149">
        <f t="shared" ref="BH121" si="485" xml:space="preserve"> BH26 + BH78 + BH120 + 640 *  BH104</f>
        <v>124297.41069384186</v>
      </c>
      <c r="BI121" s="150"/>
    </row>
    <row r="122" spans="1:61" s="113" customFormat="1" x14ac:dyDescent="0.2">
      <c r="A122" s="203" t="s">
        <v>815</v>
      </c>
      <c r="B122" s="206"/>
      <c r="C122" s="115">
        <f xml:space="preserve"> C50 + C117</f>
        <v>0</v>
      </c>
      <c r="D122" s="115">
        <f t="shared" ref="D122:BH122" si="486" xml:space="preserve"> D50 + D117</f>
        <v>0</v>
      </c>
      <c r="E122" s="115">
        <f t="shared" si="486"/>
        <v>0</v>
      </c>
      <c r="F122" s="115">
        <f xml:space="preserve"> F50 + F117</f>
        <v>0</v>
      </c>
      <c r="G122" s="115">
        <f t="shared" si="486"/>
        <v>45733.467777037855</v>
      </c>
      <c r="H122" s="115">
        <f t="shared" si="486"/>
        <v>91943.955658450941</v>
      </c>
      <c r="I122" s="115">
        <f t="shared" si="486"/>
        <v>138631.46364423927</v>
      </c>
      <c r="J122" s="115">
        <f t="shared" si="486"/>
        <v>185805.43225129021</v>
      </c>
      <c r="K122" s="115">
        <f t="shared" si="486"/>
        <v>233465.86147960377</v>
      </c>
      <c r="L122" s="115">
        <f t="shared" si="486"/>
        <v>281612.75132917997</v>
      </c>
      <c r="M122" s="115">
        <f t="shared" si="486"/>
        <v>330255.54231690621</v>
      </c>
      <c r="N122" s="115">
        <f t="shared" si="486"/>
        <v>379403.67495966982</v>
      </c>
      <c r="O122" s="115">
        <f t="shared" si="486"/>
        <v>429047.70874058345</v>
      </c>
      <c r="P122" s="115">
        <f t="shared" si="486"/>
        <v>433463.61639949662</v>
      </c>
      <c r="Q122" s="115">
        <f t="shared" si="486"/>
        <v>437917.28612595936</v>
      </c>
      <c r="R122" s="115">
        <f t="shared" si="486"/>
        <v>442408.71791997162</v>
      </c>
      <c r="S122" s="115">
        <f t="shared" si="486"/>
        <v>446928.47126464604</v>
      </c>
      <c r="T122" s="115">
        <f t="shared" si="486"/>
        <v>451485.98667687003</v>
      </c>
      <c r="U122" s="115">
        <f t="shared" si="486"/>
        <v>456071.82363975619</v>
      </c>
      <c r="V122" s="115">
        <f t="shared" si="486"/>
        <v>460695.42267019191</v>
      </c>
      <c r="W122" s="115">
        <f t="shared" si="486"/>
        <v>465356.78376817721</v>
      </c>
      <c r="X122" s="115">
        <f t="shared" si="486"/>
        <v>470055.90693371202</v>
      </c>
      <c r="Y122" s="115">
        <f t="shared" si="486"/>
        <v>474783.35164990899</v>
      </c>
      <c r="Z122" s="115">
        <f t="shared" si="486"/>
        <v>479548.55843365553</v>
      </c>
      <c r="AA122" s="115">
        <f t="shared" si="486"/>
        <v>484351.52728495165</v>
      </c>
      <c r="AB122" s="115">
        <f t="shared" si="486"/>
        <v>489192.25820379728</v>
      </c>
      <c r="AC122" s="115">
        <f t="shared" si="486"/>
        <v>494070.75119019242</v>
      </c>
      <c r="AD122" s="115">
        <f t="shared" si="486"/>
        <v>498977.56572724978</v>
      </c>
      <c r="AE122" s="115">
        <f t="shared" si="486"/>
        <v>503922.14233185671</v>
      </c>
      <c r="AF122" s="115">
        <f t="shared" si="486"/>
        <v>508904.48100401316</v>
      </c>
      <c r="AG122" s="115">
        <f t="shared" si="486"/>
        <v>513924.58174371917</v>
      </c>
      <c r="AH122" s="115">
        <f t="shared" si="486"/>
        <v>518982.44455097476</v>
      </c>
      <c r="AI122" s="115">
        <f t="shared" si="486"/>
        <v>524078.06942577986</v>
      </c>
      <c r="AJ122" s="115">
        <f t="shared" si="486"/>
        <v>529211.45636813447</v>
      </c>
      <c r="AK122" s="115">
        <f t="shared" si="486"/>
        <v>534392.04589492618</v>
      </c>
      <c r="AL122" s="115">
        <f t="shared" si="486"/>
        <v>539610.39748926728</v>
      </c>
      <c r="AM122" s="115">
        <f t="shared" si="486"/>
        <v>544866.51115115802</v>
      </c>
      <c r="AN122" s="115">
        <f t="shared" si="486"/>
        <v>550160.38688059826</v>
      </c>
      <c r="AO122" s="115">
        <f t="shared" si="486"/>
        <v>555492.02467758814</v>
      </c>
      <c r="AP122" s="115">
        <f t="shared" si="486"/>
        <v>560870.86505901488</v>
      </c>
      <c r="AQ122" s="115">
        <f t="shared" si="486"/>
        <v>566287.46750799112</v>
      </c>
      <c r="AR122" s="115">
        <f t="shared" si="486"/>
        <v>571741.832024517</v>
      </c>
      <c r="AS122" s="115">
        <f t="shared" si="486"/>
        <v>577243.39912547986</v>
      </c>
      <c r="AT122" s="115">
        <f t="shared" si="486"/>
        <v>582782.72829399211</v>
      </c>
      <c r="AU122" s="115">
        <f t="shared" si="486"/>
        <v>588359.819530054</v>
      </c>
      <c r="AV122" s="115">
        <f t="shared" si="486"/>
        <v>593984.11335055297</v>
      </c>
      <c r="AW122" s="115">
        <f t="shared" si="486"/>
        <v>599646.16923860135</v>
      </c>
      <c r="AX122" s="115">
        <f t="shared" si="486"/>
        <v>605355.42771108658</v>
      </c>
      <c r="AY122" s="115">
        <f t="shared" si="486"/>
        <v>611111.88876800891</v>
      </c>
      <c r="AZ122" s="115">
        <f t="shared" si="486"/>
        <v>616906.11189248075</v>
      </c>
      <c r="BA122" s="115">
        <f t="shared" si="486"/>
        <v>622747.53760138946</v>
      </c>
      <c r="BB122" s="115">
        <f t="shared" si="486"/>
        <v>628626.72537784779</v>
      </c>
      <c r="BC122" s="115">
        <f t="shared" si="486"/>
        <v>634553.1157387431</v>
      </c>
      <c r="BD122" s="115">
        <f t="shared" si="486"/>
        <v>640526.70868407539</v>
      </c>
      <c r="BE122" s="115">
        <f t="shared" si="486"/>
        <v>646547.50421384443</v>
      </c>
      <c r="BF122" s="115">
        <f t="shared" si="486"/>
        <v>652606.06181116321</v>
      </c>
      <c r="BG122" s="115">
        <f t="shared" si="486"/>
        <v>658711.82199291885</v>
      </c>
      <c r="BH122" s="115">
        <f t="shared" si="486"/>
        <v>664864.78475911147</v>
      </c>
      <c r="BI122" s="114"/>
    </row>
    <row r="123" spans="1:61" s="138" customFormat="1" x14ac:dyDescent="0.2">
      <c r="A123" s="135" t="s">
        <v>699</v>
      </c>
      <c r="B123" s="168"/>
      <c r="C123" s="136">
        <f xml:space="preserve"> C104 * 'SGSP Salt content'!$B$12 / 'SGSP Pond Sizing'!$B$1 * 'SGSP Section Cost low evap.'!$G$48</f>
        <v>0</v>
      </c>
      <c r="D123" s="136">
        <f xml:space="preserve"> D104 * 'SGSP Salt content'!$B$12 / 'SGSP Pond Sizing'!$B$1 * 'SGSP Section Cost low evap.'!$G$48</f>
        <v>0</v>
      </c>
      <c r="E123" s="136">
        <f xml:space="preserve"> E104 * 'SGSP Salt content'!$B$12 / 'SGSP Pond Sizing'!$B$1 * 'SGSP Section Cost low evap.'!$G$48</f>
        <v>0</v>
      </c>
      <c r="F123" s="136">
        <f xml:space="preserve"> F104 * 'SGSP Salt content'!$B$12 / 'SGSP Pond Sizing'!$B$1 * 'SGSP Section Cost low evap.'!$G$48</f>
        <v>0</v>
      </c>
      <c r="G123" s="136">
        <f xml:space="preserve"> G104 * 'SGSP Salt content'!$B$12 / 'SGSP Pond Sizing'!$B$1 * 'SGSP Section Cost low evap.'!$G$48</f>
        <v>0</v>
      </c>
      <c r="H123" s="136">
        <f xml:space="preserve"> H104 * 'SGSP Salt content'!$B$12 / 'SGSP Pond Sizing'!$B$1 * 'SGSP Section Cost low evap.'!$G$48</f>
        <v>694435.09355963126</v>
      </c>
      <c r="I123" s="136">
        <f xml:space="preserve"> I104 * 'SGSP Salt content'!$B$12 / 'SGSP Pond Sizing'!$B$1 * 'SGSP Section Cost low evap.'!$G$48</f>
        <v>2083305.2806788939</v>
      </c>
      <c r="J123" s="136">
        <f xml:space="preserve"> J104 * 'SGSP Salt content'!$B$12 / 'SGSP Pond Sizing'!$B$1 * 'SGSP Section Cost low evap.'!$G$48</f>
        <v>4180353.8526107455</v>
      </c>
      <c r="K123" s="136">
        <f xml:space="preserve"> K104 * 'SGSP Salt content'!$B$12 / 'SGSP Pond Sizing'!$B$1 * 'SGSP Section Cost low evap.'!$G$48</f>
        <v>6985580.8093551826</v>
      </c>
      <c r="L123" s="136">
        <f xml:space="preserve"> L104 * 'SGSP Salt content'!$B$12 / 'SGSP Pond Sizing'!$B$1 * 'SGSP Section Cost low evap.'!$G$48</f>
        <v>10498986.15091221</v>
      </c>
      <c r="M123" s="136">
        <f xml:space="preserve"> M104 * 'SGSP Salt content'!$B$12 / 'SGSP Pond Sizing'!$B$1 * 'SGSP Section Cost low evap.'!$G$48</f>
        <v>14734313.16853478</v>
      </c>
      <c r="N123" s="136">
        <f xml:space="preserve"> N104 * 'SGSP Salt content'!$B$12 / 'SGSP Pond Sizing'!$B$1 * 'SGSP Section Cost low evap.'!$G$48</f>
        <v>19705305.153475855</v>
      </c>
      <c r="O123" s="136">
        <f xml:space="preserve"> O104 * 'SGSP Salt content'!$B$12 / 'SGSP Pond Sizing'!$B$1 * 'SGSP Section Cost low evap.'!$G$48</f>
        <v>25398218.814482465</v>
      </c>
      <c r="P123" s="136">
        <f xml:space="preserve"> P104 * 'SGSP Salt content'!$B$12 / 'SGSP Pond Sizing'!$B$1 * 'SGSP Section Cost low evap.'!$G$48</f>
        <v>31826797.442807585</v>
      </c>
      <c r="Q123" s="136">
        <f xml:space="preserve"> Q104 * 'SGSP Salt content'!$B$12 / 'SGSP Pond Sizing'!$B$1 * 'SGSP Section Cost low evap.'!$G$48</f>
        <v>38310349.236144528</v>
      </c>
      <c r="R123" s="136">
        <f xml:space="preserve"> R104 * 'SGSP Salt content'!$B$12 / 'SGSP Pond Sizing'!$B$1 * 'SGSP Section Cost low evap.'!$G$48</f>
        <v>44848874.194493294</v>
      </c>
      <c r="S123" s="136">
        <f xml:space="preserve"> S104 * 'SGSP Salt content'!$B$12 / 'SGSP Pond Sizing'!$B$1 * 'SGSP Section Cost low evap.'!$G$48</f>
        <v>51428629.026600942</v>
      </c>
      <c r="T123" s="136">
        <f xml:space="preserve"> T104 * 'SGSP Salt content'!$B$12 / 'SGSP Pond Sizing'!$B$1 * 'SGSP Section Cost low evap.'!$G$48</f>
        <v>58063357.023720406</v>
      </c>
      <c r="U123" s="136">
        <f xml:space="preserve"> U104 * 'SGSP Salt content'!$B$12 / 'SGSP Pond Sizing'!$B$1 * 'SGSP Section Cost low evap.'!$G$48</f>
        <v>64739314.894598737</v>
      </c>
      <c r="V123" s="136">
        <f xml:space="preserve"> V104 * 'SGSP Salt content'!$B$12 / 'SGSP Pond Sizing'!$B$1 * 'SGSP Section Cost low evap.'!$G$48</f>
        <v>71470245.930488899</v>
      </c>
      <c r="W123" s="136">
        <f xml:space="preserve"> W104 * 'SGSP Salt content'!$B$12 / 'SGSP Pond Sizing'!$B$1 * 'SGSP Section Cost low evap.'!$G$48</f>
        <v>78256150.13139087</v>
      </c>
      <c r="X123" s="136">
        <f xml:space="preserve"> X104 * 'SGSP Salt content'!$B$12 / 'SGSP Pond Sizing'!$B$1 * 'SGSP Section Cost low evap.'!$G$48</f>
        <v>85097027.497304708</v>
      </c>
      <c r="Y123" s="136">
        <f xml:space="preserve"> Y104 * 'SGSP Salt content'!$B$12 / 'SGSP Pond Sizing'!$B$1 * 'SGSP Section Cost low evap.'!$G$48</f>
        <v>91979134.736977383</v>
      </c>
      <c r="Z123" s="136">
        <f xml:space="preserve"> Z104 * 'SGSP Salt content'!$B$12 / 'SGSP Pond Sizing'!$B$1 * 'SGSP Section Cost low evap.'!$G$48</f>
        <v>98916215.141661882</v>
      </c>
      <c r="AA123" s="136">
        <f xml:space="preserve"> AA104 * 'SGSP Salt content'!$B$12 / 'SGSP Pond Sizing'!$B$1 * 'SGSP Section Cost low evap.'!$G$48</f>
        <v>105908268.71135822</v>
      </c>
      <c r="AB123" s="136">
        <f xml:space="preserve"> AB104 * 'SGSP Salt content'!$B$12 / 'SGSP Pond Sizing'!$B$1 * 'SGSP Section Cost low evap.'!$G$48</f>
        <v>112955295.44606638</v>
      </c>
      <c r="AC123" s="136">
        <f xml:space="preserve"> AC104 * 'SGSP Salt content'!$B$12 / 'SGSP Pond Sizing'!$B$1 * 'SGSP Section Cost low evap.'!$G$48</f>
        <v>120057295.34578638</v>
      </c>
      <c r="AD123" s="136">
        <f xml:space="preserve"> AD104 * 'SGSP Salt content'!$B$12 / 'SGSP Pond Sizing'!$B$1 * 'SGSP Section Cost low evap.'!$G$48</f>
        <v>127200525.11926523</v>
      </c>
      <c r="AE123" s="136">
        <f xml:space="preserve"> AE104 * 'SGSP Salt content'!$B$12 / 'SGSP Pond Sizing'!$B$1 * 'SGSP Section Cost low evap.'!$G$48</f>
        <v>134398728.05775592</v>
      </c>
      <c r="AF123" s="136">
        <f xml:space="preserve"> AF104 * 'SGSP Salt content'!$B$12 / 'SGSP Pond Sizing'!$B$1 * 'SGSP Section Cost low evap.'!$G$48</f>
        <v>141651904.16125846</v>
      </c>
      <c r="AG123" s="136">
        <f xml:space="preserve"> AG104 * 'SGSP Salt content'!$B$12 / 'SGSP Pond Sizing'!$B$1 * 'SGSP Section Cost low evap.'!$G$48</f>
        <v>148960053.42977276</v>
      </c>
      <c r="AH123" s="136">
        <f xml:space="preserve"> AH104 * 'SGSP Salt content'!$B$12 / 'SGSP Pond Sizing'!$B$1 * 'SGSP Section Cost low evap.'!$G$48</f>
        <v>156323175.86329895</v>
      </c>
      <c r="AI123" s="136">
        <f xml:space="preserve"> AI104 * 'SGSP Salt content'!$B$12 / 'SGSP Pond Sizing'!$B$1 * 'SGSP Section Cost low evap.'!$G$48</f>
        <v>163741271.46183693</v>
      </c>
      <c r="AJ123" s="136">
        <f xml:space="preserve"> AJ104 * 'SGSP Salt content'!$B$12 / 'SGSP Pond Sizing'!$B$1 * 'SGSP Section Cost low evap.'!$G$48</f>
        <v>171214340.22538674</v>
      </c>
      <c r="AK123" s="136">
        <f xml:space="preserve"> AK104 * 'SGSP Salt content'!$B$12 / 'SGSP Pond Sizing'!$B$1 * 'SGSP Section Cost low evap.'!$G$48</f>
        <v>178756125.44520134</v>
      </c>
      <c r="AL123" s="136">
        <f xml:space="preserve"> AL104 * 'SGSP Salt content'!$B$12 / 'SGSP Pond Sizing'!$B$1 * 'SGSP Section Cost low evap.'!$G$48</f>
        <v>186352883.83002773</v>
      </c>
      <c r="AM123" s="136">
        <f xml:space="preserve"> AM104 * 'SGSP Salt content'!$B$12 / 'SGSP Pond Sizing'!$B$1 * 'SGSP Section Cost low evap.'!$G$48</f>
        <v>194004615.379866</v>
      </c>
      <c r="AN123" s="136">
        <f xml:space="preserve"> AN104 * 'SGSP Salt content'!$B$12 / 'SGSP Pond Sizing'!$B$1 * 'SGSP Section Cost low evap.'!$G$48</f>
        <v>201711320.09471607</v>
      </c>
      <c r="AO123" s="136">
        <f xml:space="preserve"> AO104 * 'SGSP Salt content'!$B$12 / 'SGSP Pond Sizing'!$B$1 * 'SGSP Section Cost low evap.'!$G$48</f>
        <v>209472997.97457799</v>
      </c>
      <c r="AP123" s="136">
        <f xml:space="preserve"> AP104 * 'SGSP Salt content'!$B$12 / 'SGSP Pond Sizing'!$B$1 * 'SGSP Section Cost low evap.'!$G$48</f>
        <v>217303392.31070468</v>
      </c>
      <c r="AQ123" s="136">
        <f xml:space="preserve"> AQ104 * 'SGSP Salt content'!$B$12 / 'SGSP Pond Sizing'!$B$1 * 'SGSP Section Cost low evap.'!$G$48</f>
        <v>225188759.81184316</v>
      </c>
      <c r="AR123" s="136">
        <f xml:space="preserve"> AR104 * 'SGSP Salt content'!$B$12 / 'SGSP Pond Sizing'!$B$1 * 'SGSP Section Cost low evap.'!$G$48</f>
        <v>233129100.47799349</v>
      </c>
      <c r="AS123" s="136">
        <f xml:space="preserve"> AS104 * 'SGSP Salt content'!$B$12 / 'SGSP Pond Sizing'!$B$1 * 'SGSP Section Cost low evap.'!$G$48</f>
        <v>241138157.60040858</v>
      </c>
      <c r="AT123" s="136">
        <f xml:space="preserve"> AT104 * 'SGSP Salt content'!$B$12 / 'SGSP Pond Sizing'!$B$1 * 'SGSP Section Cost low evap.'!$G$48</f>
        <v>249202187.88783556</v>
      </c>
      <c r="AU123" s="136">
        <f xml:space="preserve"> AU104 * 'SGSP Salt content'!$B$12 / 'SGSP Pond Sizing'!$B$1 * 'SGSP Section Cost low evap.'!$G$48</f>
        <v>257321191.34027436</v>
      </c>
      <c r="AV123" s="136">
        <f xml:space="preserve"> AV104 * 'SGSP Salt content'!$B$12 / 'SGSP Pond Sizing'!$B$1 * 'SGSP Section Cost low evap.'!$G$48</f>
        <v>265508911.24897787</v>
      </c>
      <c r="AW123" s="136">
        <f xml:space="preserve"> AW104 * 'SGSP Salt content'!$B$12 / 'SGSP Pond Sizing'!$B$1 * 'SGSP Section Cost low evap.'!$G$48</f>
        <v>273751604.32269329</v>
      </c>
      <c r="AX123" s="136">
        <f xml:space="preserve"> AX104 * 'SGSP Salt content'!$B$12 / 'SGSP Pond Sizing'!$B$1 * 'SGSP Section Cost low evap.'!$G$48</f>
        <v>282063013.85267341</v>
      </c>
      <c r="AY123" s="136">
        <f xml:space="preserve"> AY104 * 'SGSP Salt content'!$B$12 / 'SGSP Pond Sizing'!$B$1 * 'SGSP Section Cost low evap.'!$G$48</f>
        <v>290443139.83891833</v>
      </c>
      <c r="AZ123" s="136">
        <f xml:space="preserve"> AZ104 * 'SGSP Salt content'!$B$12 / 'SGSP Pond Sizing'!$B$1 * 'SGSP Section Cost low evap.'!$G$48</f>
        <v>298878238.99017507</v>
      </c>
      <c r="BA123" s="136">
        <f xml:space="preserve"> BA104 * 'SGSP Salt content'!$B$12 / 'SGSP Pond Sizing'!$B$1 * 'SGSP Section Cost low evap.'!$G$48</f>
        <v>307382054.59769666</v>
      </c>
      <c r="BB123" s="136">
        <f xml:space="preserve"> BB104 * 'SGSP Salt content'!$B$12 / 'SGSP Pond Sizing'!$B$1 * 'SGSP Section Cost low evap.'!$G$48</f>
        <v>315940843.37023008</v>
      </c>
      <c r="BC123" s="136">
        <f xml:space="preserve"> BC104 * 'SGSP Salt content'!$B$12 / 'SGSP Pond Sizing'!$B$1 * 'SGSP Section Cost low evap.'!$G$48</f>
        <v>324568348.59902823</v>
      </c>
      <c r="BD123" s="136">
        <f xml:space="preserve"> BD104 * 'SGSP Salt content'!$B$12 / 'SGSP Pond Sizing'!$B$1 * 'SGSP Section Cost low evap.'!$G$48</f>
        <v>333264570.28409117</v>
      </c>
      <c r="BE123" s="136">
        <f xml:space="preserve"> BE104 * 'SGSP Salt content'!$B$12 / 'SGSP Pond Sizing'!$B$1 * 'SGSP Section Cost low evap.'!$G$48</f>
        <v>342029508.42541897</v>
      </c>
      <c r="BF123" s="136">
        <f xml:space="preserve"> BF104 * 'SGSP Salt content'!$B$12 / 'SGSP Pond Sizing'!$B$1 * 'SGSP Section Cost low evap.'!$G$48</f>
        <v>350849419.73175848</v>
      </c>
      <c r="BG123" s="136">
        <f xml:space="preserve"> BG104 * 'SGSP Salt content'!$B$12 / 'SGSP Pond Sizing'!$B$1 * 'SGSP Section Cost low evap.'!$G$48</f>
        <v>359738047.49436283</v>
      </c>
      <c r="BH123" s="136">
        <f xml:space="preserve"> BH104 * 'SGSP Salt content'!$B$12 / 'SGSP Pond Sizing'!$B$1 * 'SGSP Section Cost low evap.'!$G$48</f>
        <v>368695391.71323192</v>
      </c>
      <c r="BI123" s="137"/>
    </row>
    <row r="124" spans="1:61" s="138" customFormat="1" x14ac:dyDescent="0.2">
      <c r="A124" s="135" t="s">
        <v>700</v>
      </c>
      <c r="B124" s="168"/>
      <c r="C124" s="136">
        <f xml:space="preserve"> E123 - D123</f>
        <v>0</v>
      </c>
      <c r="D124" s="136">
        <f t="shared" ref="D124:AK124" si="487" xml:space="preserve"> F123 - E123</f>
        <v>0</v>
      </c>
      <c r="E124" s="136">
        <f t="shared" si="487"/>
        <v>0</v>
      </c>
      <c r="F124" s="136">
        <f t="shared" si="487"/>
        <v>694435.09355963126</v>
      </c>
      <c r="G124" s="136">
        <f t="shared" si="487"/>
        <v>1388870.1871192628</v>
      </c>
      <c r="H124" s="136">
        <f t="shared" si="487"/>
        <v>2097048.5719318516</v>
      </c>
      <c r="I124" s="136">
        <f t="shared" si="487"/>
        <v>2805226.9567444371</v>
      </c>
      <c r="J124" s="136">
        <f t="shared" si="487"/>
        <v>3513405.3415570278</v>
      </c>
      <c r="K124" s="136">
        <f t="shared" si="487"/>
        <v>4235327.0176225696</v>
      </c>
      <c r="L124" s="136">
        <f t="shared" si="487"/>
        <v>4970991.9849410746</v>
      </c>
      <c r="M124" s="136">
        <f t="shared" si="487"/>
        <v>5692913.6610066108</v>
      </c>
      <c r="N124" s="136">
        <f t="shared" si="487"/>
        <v>6428578.6283251196</v>
      </c>
      <c r="O124" s="136">
        <f t="shared" si="487"/>
        <v>6483551.7933369428</v>
      </c>
      <c r="P124" s="136">
        <f t="shared" si="487"/>
        <v>6538524.958348766</v>
      </c>
      <c r="Q124" s="136">
        <f t="shared" si="487"/>
        <v>6579754.8321076483</v>
      </c>
      <c r="R124" s="136">
        <f t="shared" si="487"/>
        <v>6634727.997119464</v>
      </c>
      <c r="S124" s="136">
        <f t="shared" si="487"/>
        <v>6675957.8708783314</v>
      </c>
      <c r="T124" s="136">
        <f t="shared" si="487"/>
        <v>6730931.035890162</v>
      </c>
      <c r="U124" s="136">
        <f t="shared" si="487"/>
        <v>6785904.2009019703</v>
      </c>
      <c r="V124" s="136">
        <f t="shared" si="487"/>
        <v>6840877.3659138381</v>
      </c>
      <c r="W124" s="136">
        <f t="shared" si="487"/>
        <v>6882107.2396726757</v>
      </c>
      <c r="X124" s="136">
        <f t="shared" si="487"/>
        <v>6937080.4046844989</v>
      </c>
      <c r="Y124" s="136">
        <f t="shared" si="487"/>
        <v>6992053.569696337</v>
      </c>
      <c r="Z124" s="136">
        <f t="shared" si="487"/>
        <v>7047026.7347081602</v>
      </c>
      <c r="AA124" s="136">
        <f t="shared" si="487"/>
        <v>7101999.8997199982</v>
      </c>
      <c r="AB124" s="136">
        <f t="shared" si="487"/>
        <v>7143229.7734788507</v>
      </c>
      <c r="AC124" s="136">
        <f t="shared" si="487"/>
        <v>7198202.9384906888</v>
      </c>
      <c r="AD124" s="136">
        <f t="shared" si="487"/>
        <v>7253176.1035025418</v>
      </c>
      <c r="AE124" s="136">
        <f t="shared" si="487"/>
        <v>7308149.2685143054</v>
      </c>
      <c r="AF124" s="136">
        <f t="shared" si="487"/>
        <v>7363122.4335261881</v>
      </c>
      <c r="AG124" s="136">
        <f t="shared" si="487"/>
        <v>7418095.5985379815</v>
      </c>
      <c r="AH124" s="136">
        <f t="shared" si="487"/>
        <v>7473068.7635498047</v>
      </c>
      <c r="AI124" s="136">
        <f t="shared" si="487"/>
        <v>7541785.2198145986</v>
      </c>
      <c r="AJ124" s="136">
        <f t="shared" si="487"/>
        <v>7596758.3848263919</v>
      </c>
      <c r="AK124" s="136">
        <f t="shared" si="487"/>
        <v>7651731.5498382747</v>
      </c>
      <c r="AL124" s="136">
        <f t="shared" ref="AL124" si="488" xml:space="preserve"> AN123 - AM123</f>
        <v>7706704.7148500681</v>
      </c>
      <c r="AM124" s="136">
        <f t="shared" ref="AM124" si="489" xml:space="preserve"> AO123 - AN123</f>
        <v>7761677.8798619211</v>
      </c>
      <c r="AN124" s="136">
        <f t="shared" ref="AN124" si="490" xml:space="preserve"> AP123 - AO123</f>
        <v>7830394.3361266851</v>
      </c>
      <c r="AO124" s="136">
        <f t="shared" ref="AO124" si="491" xml:space="preserve"> AQ123 - AP123</f>
        <v>7885367.5011384785</v>
      </c>
      <c r="AP124" s="136">
        <f t="shared" ref="AP124" si="492" xml:space="preserve"> AR123 - AQ123</f>
        <v>7940340.6661503315</v>
      </c>
      <c r="AQ124" s="136">
        <f t="shared" ref="AQ124" si="493" xml:space="preserve"> AS123 - AR123</f>
        <v>8009057.1224150956</v>
      </c>
      <c r="AR124" s="136">
        <f t="shared" ref="AR124" si="494" xml:space="preserve"> AT123 - AS123</f>
        <v>8064030.2874269783</v>
      </c>
      <c r="AS124" s="136">
        <f t="shared" ref="AS124" si="495" xml:space="preserve"> AU123 - AT123</f>
        <v>8119003.4524388015</v>
      </c>
      <c r="AT124" s="136">
        <f t="shared" ref="AT124" si="496" xml:space="preserve"> AV123 - AU123</f>
        <v>8187719.908703506</v>
      </c>
      <c r="AU124" s="136">
        <f t="shared" ref="AU124" si="497" xml:space="preserve"> AW123 - AV123</f>
        <v>8242693.0737154186</v>
      </c>
      <c r="AV124" s="136">
        <f t="shared" ref="AV124" si="498" xml:space="preserve"> AX123 - AW123</f>
        <v>8311409.529980123</v>
      </c>
      <c r="AW124" s="136">
        <f t="shared" ref="AW124" si="499" xml:space="preserve"> AY123 - AX123</f>
        <v>8380125.9862449169</v>
      </c>
      <c r="AX124" s="136">
        <f t="shared" ref="AX124" si="500" xml:space="preserve"> AZ123 - AY123</f>
        <v>8435099.1512567401</v>
      </c>
      <c r="AY124" s="136">
        <f t="shared" ref="AY124" si="501" xml:space="preserve"> BA123 - AZ123</f>
        <v>8503815.6075215936</v>
      </c>
      <c r="AZ124" s="136">
        <f t="shared" ref="AZ124" si="502" xml:space="preserve"> BB123 - BA123</f>
        <v>8558788.7725334167</v>
      </c>
      <c r="BA124" s="136">
        <f t="shared" ref="BA124" si="503" xml:space="preserve"> BC123 - BB123</f>
        <v>8627505.228798151</v>
      </c>
      <c r="BB124" s="136">
        <f t="shared" ref="BB124" si="504" xml:space="preserve"> BD123 - BC123</f>
        <v>8696221.6850629449</v>
      </c>
      <c r="BC124" s="136">
        <f t="shared" ref="BC124" si="505" xml:space="preserve"> BE123 - BD123</f>
        <v>8764938.1413277984</v>
      </c>
      <c r="BD124" s="136">
        <f t="shared" ref="BD124" si="506" xml:space="preserve"> BF123 - BE123</f>
        <v>8819911.3063395023</v>
      </c>
      <c r="BE124" s="136">
        <f t="shared" ref="BE124" si="507" xml:space="preserve"> BG123 - BF123</f>
        <v>8888627.7626043558</v>
      </c>
      <c r="BF124" s="136">
        <f t="shared" ref="BF124" si="508" xml:space="preserve"> BH123 - BG123</f>
        <v>8957344.2188690901</v>
      </c>
      <c r="BG124" s="136">
        <v>0</v>
      </c>
      <c r="BH124" s="136">
        <v>0</v>
      </c>
      <c r="BI124" s="137"/>
    </row>
    <row r="125" spans="1:61" hidden="1" x14ac:dyDescent="0.2">
      <c r="A125" t="s">
        <v>701</v>
      </c>
      <c r="B125" s="31"/>
      <c r="C125" s="103">
        <v>0</v>
      </c>
      <c r="D125" s="10">
        <f>$C125</f>
        <v>0</v>
      </c>
      <c r="E125" s="10">
        <f t="shared" ref="E125:BH125" si="509">$C125</f>
        <v>0</v>
      </c>
      <c r="F125" s="10">
        <f t="shared" si="509"/>
        <v>0</v>
      </c>
      <c r="G125" s="10">
        <f t="shared" si="509"/>
        <v>0</v>
      </c>
      <c r="H125" s="10">
        <f t="shared" si="509"/>
        <v>0</v>
      </c>
      <c r="I125" s="10">
        <f t="shared" si="509"/>
        <v>0</v>
      </c>
      <c r="J125" s="10">
        <f t="shared" si="509"/>
        <v>0</v>
      </c>
      <c r="K125" s="10">
        <f t="shared" si="509"/>
        <v>0</v>
      </c>
      <c r="L125" s="10">
        <f t="shared" si="509"/>
        <v>0</v>
      </c>
      <c r="M125" s="10">
        <f t="shared" si="509"/>
        <v>0</v>
      </c>
      <c r="N125" s="10">
        <f t="shared" si="509"/>
        <v>0</v>
      </c>
      <c r="O125" s="10">
        <f t="shared" si="509"/>
        <v>0</v>
      </c>
      <c r="P125" s="10">
        <f t="shared" si="509"/>
        <v>0</v>
      </c>
      <c r="Q125" s="10">
        <f t="shared" si="509"/>
        <v>0</v>
      </c>
      <c r="R125" s="10">
        <f t="shared" si="509"/>
        <v>0</v>
      </c>
      <c r="S125" s="10">
        <f t="shared" si="509"/>
        <v>0</v>
      </c>
      <c r="T125" s="10">
        <f t="shared" si="509"/>
        <v>0</v>
      </c>
      <c r="U125" s="10">
        <f t="shared" si="509"/>
        <v>0</v>
      </c>
      <c r="V125" s="10">
        <f t="shared" si="509"/>
        <v>0</v>
      </c>
      <c r="W125" s="10">
        <f t="shared" si="509"/>
        <v>0</v>
      </c>
      <c r="X125" s="10">
        <f t="shared" si="509"/>
        <v>0</v>
      </c>
      <c r="Y125" s="10">
        <f t="shared" si="509"/>
        <v>0</v>
      </c>
      <c r="Z125" s="10">
        <f t="shared" si="509"/>
        <v>0</v>
      </c>
      <c r="AA125" s="10">
        <f t="shared" si="509"/>
        <v>0</v>
      </c>
      <c r="AB125" s="10">
        <f t="shared" si="509"/>
        <v>0</v>
      </c>
      <c r="AC125" s="10">
        <f t="shared" si="509"/>
        <v>0</v>
      </c>
      <c r="AD125" s="10">
        <f t="shared" si="509"/>
        <v>0</v>
      </c>
      <c r="AE125" s="10">
        <f t="shared" si="509"/>
        <v>0</v>
      </c>
      <c r="AF125" s="10">
        <f t="shared" si="509"/>
        <v>0</v>
      </c>
      <c r="AG125" s="10">
        <f t="shared" si="509"/>
        <v>0</v>
      </c>
      <c r="AH125" s="10">
        <f t="shared" si="509"/>
        <v>0</v>
      </c>
      <c r="AI125" s="10">
        <f t="shared" si="509"/>
        <v>0</v>
      </c>
      <c r="AJ125" s="10">
        <f t="shared" si="509"/>
        <v>0</v>
      </c>
      <c r="AK125" s="10">
        <f t="shared" si="509"/>
        <v>0</v>
      </c>
      <c r="AL125" s="10">
        <f t="shared" si="509"/>
        <v>0</v>
      </c>
      <c r="AM125" s="10">
        <f t="shared" si="509"/>
        <v>0</v>
      </c>
      <c r="AN125" s="10">
        <f t="shared" si="509"/>
        <v>0</v>
      </c>
      <c r="AO125" s="10">
        <f t="shared" si="509"/>
        <v>0</v>
      </c>
      <c r="AP125" s="10">
        <f t="shared" si="509"/>
        <v>0</v>
      </c>
      <c r="AQ125" s="10">
        <f t="shared" si="509"/>
        <v>0</v>
      </c>
      <c r="AR125" s="10">
        <f t="shared" si="509"/>
        <v>0</v>
      </c>
      <c r="AS125" s="10">
        <f t="shared" si="509"/>
        <v>0</v>
      </c>
      <c r="AT125" s="10">
        <f t="shared" si="509"/>
        <v>0</v>
      </c>
      <c r="AU125" s="10">
        <f t="shared" si="509"/>
        <v>0</v>
      </c>
      <c r="AV125" s="10">
        <f t="shared" si="509"/>
        <v>0</v>
      </c>
      <c r="AW125" s="10">
        <f t="shared" si="509"/>
        <v>0</v>
      </c>
      <c r="AX125" s="10">
        <f t="shared" si="509"/>
        <v>0</v>
      </c>
      <c r="AY125" s="10">
        <f t="shared" si="509"/>
        <v>0</v>
      </c>
      <c r="AZ125" s="10">
        <f t="shared" si="509"/>
        <v>0</v>
      </c>
      <c r="BA125" s="10">
        <f t="shared" si="509"/>
        <v>0</v>
      </c>
      <c r="BB125" s="10">
        <f t="shared" si="509"/>
        <v>0</v>
      </c>
      <c r="BC125" s="10">
        <f t="shared" si="509"/>
        <v>0</v>
      </c>
      <c r="BD125" s="10">
        <f t="shared" si="509"/>
        <v>0</v>
      </c>
      <c r="BE125" s="10">
        <f t="shared" si="509"/>
        <v>0</v>
      </c>
      <c r="BF125" s="10">
        <f t="shared" si="509"/>
        <v>0</v>
      </c>
      <c r="BG125" s="10">
        <f t="shared" si="509"/>
        <v>0</v>
      </c>
      <c r="BH125" s="10">
        <f t="shared" si="509"/>
        <v>0</v>
      </c>
      <c r="BI125" s="10"/>
    </row>
    <row r="126" spans="1:61" s="84" customFormat="1" hidden="1" x14ac:dyDescent="0.2">
      <c r="A126" s="84" t="s">
        <v>702</v>
      </c>
      <c r="B126" s="158"/>
      <c r="C126" s="85">
        <f t="shared" ref="C126:AM126" si="510" xml:space="preserve"> C119 * C125</f>
        <v>0</v>
      </c>
      <c r="D126" s="85">
        <f t="shared" si="510"/>
        <v>0</v>
      </c>
      <c r="E126" s="85">
        <f t="shared" si="510"/>
        <v>0</v>
      </c>
      <c r="F126" s="85">
        <f t="shared" si="510"/>
        <v>0</v>
      </c>
      <c r="G126" s="85">
        <f t="shared" si="510"/>
        <v>0</v>
      </c>
      <c r="H126" s="85">
        <f t="shared" si="510"/>
        <v>0</v>
      </c>
      <c r="I126" s="85">
        <f t="shared" si="510"/>
        <v>0</v>
      </c>
      <c r="J126" s="85">
        <f t="shared" si="510"/>
        <v>0</v>
      </c>
      <c r="K126" s="85">
        <f t="shared" si="510"/>
        <v>0</v>
      </c>
      <c r="L126" s="85">
        <f t="shared" si="510"/>
        <v>0</v>
      </c>
      <c r="M126" s="85">
        <f t="shared" si="510"/>
        <v>0</v>
      </c>
      <c r="N126" s="85">
        <f t="shared" si="510"/>
        <v>0</v>
      </c>
      <c r="O126" s="85">
        <f t="shared" si="510"/>
        <v>0</v>
      </c>
      <c r="P126" s="85">
        <f t="shared" si="510"/>
        <v>0</v>
      </c>
      <c r="Q126" s="85">
        <f t="shared" si="510"/>
        <v>0</v>
      </c>
      <c r="R126" s="85">
        <f t="shared" si="510"/>
        <v>0</v>
      </c>
      <c r="S126" s="85">
        <f t="shared" si="510"/>
        <v>0</v>
      </c>
      <c r="T126" s="85">
        <f t="shared" si="510"/>
        <v>0</v>
      </c>
      <c r="U126" s="85">
        <f t="shared" si="510"/>
        <v>0</v>
      </c>
      <c r="V126" s="85">
        <f t="shared" si="510"/>
        <v>0</v>
      </c>
      <c r="W126" s="85">
        <f t="shared" si="510"/>
        <v>0</v>
      </c>
      <c r="X126" s="85">
        <f t="shared" si="510"/>
        <v>0</v>
      </c>
      <c r="Y126" s="85">
        <f t="shared" si="510"/>
        <v>0</v>
      </c>
      <c r="Z126" s="85">
        <f t="shared" si="510"/>
        <v>0</v>
      </c>
      <c r="AA126" s="85">
        <f t="shared" si="510"/>
        <v>0</v>
      </c>
      <c r="AB126" s="85">
        <f t="shared" si="510"/>
        <v>0</v>
      </c>
      <c r="AC126" s="85">
        <f t="shared" si="510"/>
        <v>0</v>
      </c>
      <c r="AD126" s="85">
        <f t="shared" si="510"/>
        <v>0</v>
      </c>
      <c r="AE126" s="85">
        <f t="shared" si="510"/>
        <v>0</v>
      </c>
      <c r="AF126" s="85">
        <f t="shared" si="510"/>
        <v>0</v>
      </c>
      <c r="AG126" s="85">
        <f t="shared" si="510"/>
        <v>0</v>
      </c>
      <c r="AH126" s="85">
        <f t="shared" si="510"/>
        <v>0</v>
      </c>
      <c r="AI126" s="85">
        <f t="shared" si="510"/>
        <v>0</v>
      </c>
      <c r="AJ126" s="85">
        <f t="shared" si="510"/>
        <v>0</v>
      </c>
      <c r="AK126" s="85">
        <f t="shared" si="510"/>
        <v>0</v>
      </c>
      <c r="AL126" s="85">
        <f t="shared" si="510"/>
        <v>0</v>
      </c>
      <c r="AM126" s="85">
        <f t="shared" si="510"/>
        <v>0</v>
      </c>
      <c r="AN126" s="85">
        <f t="shared" ref="AN126:AP126" si="511" xml:space="preserve"> AN119 * AN125</f>
        <v>0</v>
      </c>
      <c r="AO126" s="85">
        <f t="shared" si="511"/>
        <v>0</v>
      </c>
      <c r="AP126" s="85">
        <f t="shared" si="511"/>
        <v>0</v>
      </c>
      <c r="AQ126" s="85">
        <f t="shared" ref="AQ126:AS126" si="512" xml:space="preserve"> AQ119 * AQ125</f>
        <v>0</v>
      </c>
      <c r="AR126" s="85">
        <f t="shared" si="512"/>
        <v>0</v>
      </c>
      <c r="AS126" s="85">
        <f t="shared" si="512"/>
        <v>0</v>
      </c>
      <c r="AT126" s="85">
        <f t="shared" ref="AT126:AY126" si="513" xml:space="preserve"> AT119 * AT125</f>
        <v>0</v>
      </c>
      <c r="AU126" s="85">
        <f t="shared" si="513"/>
        <v>0</v>
      </c>
      <c r="AV126" s="85">
        <f t="shared" si="513"/>
        <v>0</v>
      </c>
      <c r="AW126" s="85">
        <f t="shared" si="513"/>
        <v>0</v>
      </c>
      <c r="AX126" s="85">
        <f t="shared" si="513"/>
        <v>0</v>
      </c>
      <c r="AY126" s="85">
        <f t="shared" si="513"/>
        <v>0</v>
      </c>
      <c r="AZ126" s="85">
        <f t="shared" ref="AZ126:BE126" si="514" xml:space="preserve"> AZ119 * AZ125</f>
        <v>0</v>
      </c>
      <c r="BA126" s="85">
        <f t="shared" si="514"/>
        <v>0</v>
      </c>
      <c r="BB126" s="85">
        <f t="shared" si="514"/>
        <v>0</v>
      </c>
      <c r="BC126" s="85">
        <f t="shared" si="514"/>
        <v>0</v>
      </c>
      <c r="BD126" s="85">
        <f t="shared" si="514"/>
        <v>0</v>
      </c>
      <c r="BE126" s="85">
        <f t="shared" si="514"/>
        <v>0</v>
      </c>
      <c r="BF126" s="85">
        <f t="shared" ref="BF126:BG126" si="515" xml:space="preserve"> BF119 * BF125</f>
        <v>0</v>
      </c>
      <c r="BG126" s="85">
        <f t="shared" si="515"/>
        <v>0</v>
      </c>
      <c r="BH126" s="85">
        <f t="shared" ref="BH126" si="516" xml:space="preserve"> BH119 * BH125</f>
        <v>0</v>
      </c>
      <c r="BI126" s="85"/>
    </row>
    <row r="127" spans="1:61" s="84" customFormat="1" x14ac:dyDescent="0.2">
      <c r="B127" s="158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</row>
    <row r="128" spans="1:61" x14ac:dyDescent="0.2">
      <c r="A128" s="1" t="s">
        <v>810</v>
      </c>
      <c r="B128" s="31"/>
    </row>
    <row r="129" spans="1:61" s="80" customFormat="1" x14ac:dyDescent="0.2">
      <c r="A129" s="80" t="s">
        <v>26</v>
      </c>
      <c r="B129" s="163"/>
      <c r="C129" s="81">
        <f t="shared" ref="C129:AM129" si="517">SUM(C28,C38,C80,C90,C53,C111,C126)</f>
        <v>0</v>
      </c>
      <c r="D129" s="81">
        <f t="shared" si="517"/>
        <v>0</v>
      </c>
      <c r="E129" s="81">
        <f t="shared" si="517"/>
        <v>0</v>
      </c>
      <c r="F129" s="81">
        <f t="shared" si="517"/>
        <v>0</v>
      </c>
      <c r="G129" s="81">
        <f t="shared" si="517"/>
        <v>187125617.36258197</v>
      </c>
      <c r="H129" s="81">
        <f t="shared" si="517"/>
        <v>393503451.11104238</v>
      </c>
      <c r="I129" s="81">
        <f t="shared" si="517"/>
        <v>612873330.65604091</v>
      </c>
      <c r="J129" s="81">
        <f t="shared" si="517"/>
        <v>842618642.81294763</v>
      </c>
      <c r="K129" s="81">
        <f t="shared" si="517"/>
        <v>1082739387.5817623</v>
      </c>
      <c r="L129" s="81">
        <f t="shared" si="517"/>
        <v>1326419857.8475308</v>
      </c>
      <c r="M129" s="81">
        <f t="shared" si="517"/>
        <v>1583402343.4944117</v>
      </c>
      <c r="N129" s="81">
        <f t="shared" si="517"/>
        <v>1767655259.6289566</v>
      </c>
      <c r="O129" s="81">
        <f t="shared" si="517"/>
        <v>1963373080.960871</v>
      </c>
      <c r="P129" s="81">
        <f t="shared" si="517"/>
        <v>2029951261.2817395</v>
      </c>
      <c r="Q129" s="81">
        <f t="shared" si="517"/>
        <v>2097164059.0067265</v>
      </c>
      <c r="R129" s="81">
        <f t="shared" si="517"/>
        <v>2161702687.4270134</v>
      </c>
      <c r="S129" s="81">
        <f t="shared" si="517"/>
        <v>2230085345.5173359</v>
      </c>
      <c r="T129" s="81">
        <f t="shared" si="517"/>
        <v>2295675274.4867015</v>
      </c>
      <c r="U129" s="81">
        <f t="shared" si="517"/>
        <v>2365227792.9423599</v>
      </c>
      <c r="V129" s="81">
        <f t="shared" si="517"/>
        <v>2435414928.8021369</v>
      </c>
      <c r="W129" s="81">
        <f t="shared" si="517"/>
        <v>2506236682.0660319</v>
      </c>
      <c r="X129" s="81">
        <f t="shared" si="517"/>
        <v>2574028586.5764551</v>
      </c>
      <c r="Y129" s="81">
        <f t="shared" si="517"/>
        <v>2646020200.2056866</v>
      </c>
      <c r="Z129" s="81">
        <f t="shared" si="517"/>
        <v>2718646431.2390361</v>
      </c>
      <c r="AA129" s="81">
        <f t="shared" si="517"/>
        <v>2791907279.6765037</v>
      </c>
      <c r="AB129" s="81">
        <f t="shared" si="517"/>
        <v>2865802745.5180902</v>
      </c>
      <c r="AC129" s="81">
        <f t="shared" si="517"/>
        <v>2936371963.0655603</v>
      </c>
      <c r="AD129" s="81">
        <f t="shared" si="517"/>
        <v>3011437289.2724824</v>
      </c>
      <c r="AE129" s="81">
        <f t="shared" si="517"/>
        <v>3087137232.883523</v>
      </c>
      <c r="AF129" s="81">
        <f t="shared" si="517"/>
        <v>3163471793.8986816</v>
      </c>
      <c r="AG129" s="81">
        <f t="shared" si="517"/>
        <v>3240440972.3179588</v>
      </c>
      <c r="AH129" s="81">
        <f t="shared" si="517"/>
        <v>3318044768.1413546</v>
      </c>
      <c r="AI129" s="81">
        <f t="shared" si="517"/>
        <v>3396283181.3688679</v>
      </c>
      <c r="AJ129" s="81">
        <f t="shared" si="517"/>
        <v>3479532037.0556355</v>
      </c>
      <c r="AK129" s="81">
        <f t="shared" si="517"/>
        <v>3559139059.5342875</v>
      </c>
      <c r="AL129" s="81">
        <f t="shared" si="517"/>
        <v>3639380699.417057</v>
      </c>
      <c r="AM129" s="81">
        <f t="shared" si="517"/>
        <v>3720256956.7039452</v>
      </c>
      <c r="AN129" s="81">
        <f t="shared" ref="AN129:AP129" si="518">SUM(AN28,AN38,AN80,AN90,AN53,AN111,AN126)</f>
        <v>3801767831.3949518</v>
      </c>
      <c r="AO129" s="81">
        <f t="shared" si="518"/>
        <v>3888585548.085855</v>
      </c>
      <c r="AP129" s="81">
        <f t="shared" si="518"/>
        <v>3971465032.0279994</v>
      </c>
      <c r="AQ129" s="81">
        <f t="shared" ref="AQ129:AS129" si="519">SUM(AQ28,AQ38,AQ80,AQ90,AQ53,AQ111,AQ126)</f>
        <v>4054979133.3742619</v>
      </c>
      <c r="AR129" s="81">
        <f t="shared" si="519"/>
        <v>4143977916.444808</v>
      </c>
      <c r="AS129" s="81">
        <f t="shared" si="519"/>
        <v>4228860627.0422077</v>
      </c>
      <c r="AT129" s="81">
        <f t="shared" ref="AT129:AY129" si="520">SUM(AT28,AT38,AT80,AT90,AT53,AT111,AT126)</f>
        <v>4314377955.043726</v>
      </c>
      <c r="AU129" s="81">
        <f t="shared" si="520"/>
        <v>4405557804.4939137</v>
      </c>
      <c r="AV129" s="81">
        <f t="shared" si="520"/>
        <v>4492443741.7465706</v>
      </c>
      <c r="AW129" s="81">
        <f t="shared" si="520"/>
        <v>4585110760.2641535</v>
      </c>
      <c r="AX129" s="81">
        <f t="shared" si="520"/>
        <v>4678571050.5368843</v>
      </c>
      <c r="AY129" s="81">
        <f t="shared" si="520"/>
        <v>4767559588.8876972</v>
      </c>
      <c r="AZ129" s="81">
        <f t="shared" ref="AZ129:BE129" si="521">SUM(AZ28,AZ38,AZ80,AZ90,AZ53,AZ111,AZ126)</f>
        <v>4862507048.2278223</v>
      </c>
      <c r="BA129" s="81">
        <f t="shared" si="521"/>
        <v>4952864195.8297739</v>
      </c>
      <c r="BB129" s="81">
        <f t="shared" si="521"/>
        <v>5049298824.2372942</v>
      </c>
      <c r="BC129" s="81">
        <f t="shared" si="521"/>
        <v>5146526724.3999643</v>
      </c>
      <c r="BD129" s="81">
        <f t="shared" si="521"/>
        <v>5244547896.3177805</v>
      </c>
      <c r="BE129" s="81">
        <f t="shared" si="521"/>
        <v>5337741636.8649073</v>
      </c>
      <c r="BF129" s="81">
        <f t="shared" ref="BF129:BG129" si="522">SUM(BF28,BF38,BF80,BF90,BF53,BF111,BF126)</f>
        <v>5437249977.8501196</v>
      </c>
      <c r="BG129" s="81">
        <f t="shared" si="522"/>
        <v>5537551590.5904799</v>
      </c>
      <c r="BH129" s="81">
        <f t="shared" ref="BH129" si="523">SUM(BH28,BH38,BH80,BH90,BH53,BH111,BH126)</f>
        <v>5638646475.0859871</v>
      </c>
      <c r="BI129" s="81"/>
    </row>
    <row r="130" spans="1:61" s="82" customFormat="1" x14ac:dyDescent="0.2">
      <c r="A130" s="82" t="s">
        <v>27</v>
      </c>
      <c r="B130" s="156"/>
      <c r="C130" s="83">
        <f>SUM(C18,C24,C34,C43,C70,C76,C86,C58,C105)</f>
        <v>0</v>
      </c>
      <c r="D130" s="83">
        <f t="shared" ref="D130:BH130" si="524">SUM(D18,D24,D34,D43,D70,D76,D86,D58,D105)</f>
        <v>0</v>
      </c>
      <c r="E130" s="83">
        <f t="shared" si="524"/>
        <v>51156410.580740981</v>
      </c>
      <c r="F130" s="83">
        <f t="shared" si="524"/>
        <v>251800101.16148198</v>
      </c>
      <c r="G130" s="83">
        <f t="shared" si="524"/>
        <v>291346510.10082674</v>
      </c>
      <c r="H130" s="83">
        <f t="shared" si="524"/>
        <v>330902006.79424888</v>
      </c>
      <c r="I130" s="83">
        <f t="shared" si="524"/>
        <v>368544136.65896887</v>
      </c>
      <c r="J130" s="83">
        <f t="shared" si="524"/>
        <v>406186266.52368873</v>
      </c>
      <c r="K130" s="83">
        <f t="shared" si="524"/>
        <v>444381347.15594059</v>
      </c>
      <c r="L130" s="83">
        <f t="shared" si="524"/>
        <v>486131694.74047685</v>
      </c>
      <c r="M130" s="83">
        <f t="shared" si="524"/>
        <v>505742534.72877878</v>
      </c>
      <c r="N130" s="83">
        <f t="shared" si="524"/>
        <v>500687375.84021068</v>
      </c>
      <c r="O130" s="83">
        <f t="shared" si="524"/>
        <v>339561838.60022157</v>
      </c>
      <c r="P130" s="83">
        <f t="shared" si="524"/>
        <v>342863814.35554039</v>
      </c>
      <c r="Q130" s="83">
        <f t="shared" si="524"/>
        <v>343426929.34332734</v>
      </c>
      <c r="R130" s="83">
        <f t="shared" si="524"/>
        <v>348642271.92734849</v>
      </c>
      <c r="S130" s="83">
        <f t="shared" si="524"/>
        <v>349205386.91513538</v>
      </c>
      <c r="T130" s="83">
        <f t="shared" si="524"/>
        <v>354420729.49915653</v>
      </c>
      <c r="U130" s="83">
        <f t="shared" si="524"/>
        <v>357722705.25447541</v>
      </c>
      <c r="V130" s="83">
        <f t="shared" si="524"/>
        <v>361024681.00979424</v>
      </c>
      <c r="W130" s="83">
        <f t="shared" si="524"/>
        <v>361587795.99758118</v>
      </c>
      <c r="X130" s="83">
        <f t="shared" si="524"/>
        <v>366803138.58160233</v>
      </c>
      <c r="Y130" s="83">
        <f t="shared" si="524"/>
        <v>370105114.33692122</v>
      </c>
      <c r="Z130" s="83">
        <f t="shared" si="524"/>
        <v>373407090.0922401</v>
      </c>
      <c r="AA130" s="83">
        <f t="shared" si="524"/>
        <v>376709065.84755892</v>
      </c>
      <c r="AB130" s="83">
        <f t="shared" si="524"/>
        <v>377272180.83534592</v>
      </c>
      <c r="AC130" s="83">
        <f t="shared" si="524"/>
        <v>382487523.41936707</v>
      </c>
      <c r="AD130" s="83">
        <f t="shared" si="524"/>
        <v>385789499.1746859</v>
      </c>
      <c r="AE130" s="83">
        <f t="shared" si="524"/>
        <v>389091474.93000478</v>
      </c>
      <c r="AF130" s="83">
        <f t="shared" si="524"/>
        <v>392393450.68532366</v>
      </c>
      <c r="AG130" s="83">
        <f t="shared" si="524"/>
        <v>395695426.4406426</v>
      </c>
      <c r="AH130" s="83">
        <f t="shared" si="524"/>
        <v>398997402.19596142</v>
      </c>
      <c r="AI130" s="83">
        <f t="shared" si="524"/>
        <v>405038238.71881235</v>
      </c>
      <c r="AJ130" s="83">
        <f t="shared" si="524"/>
        <v>406426847.64542896</v>
      </c>
      <c r="AK130" s="83">
        <f t="shared" si="524"/>
        <v>409728823.4007479</v>
      </c>
      <c r="AL130" s="83">
        <f t="shared" si="524"/>
        <v>413030799.15606666</v>
      </c>
      <c r="AM130" s="83">
        <f t="shared" si="524"/>
        <v>391968248.09842211</v>
      </c>
      <c r="AN130" s="83">
        <f t="shared" si="524"/>
        <v>394764220.69363397</v>
      </c>
      <c r="AO130" s="83">
        <f t="shared" si="524"/>
        <v>398259186.43764883</v>
      </c>
      <c r="AP130" s="83">
        <f t="shared" si="524"/>
        <v>401055159.0328607</v>
      </c>
      <c r="AQ130" s="83">
        <f t="shared" si="524"/>
        <v>403851131.62807256</v>
      </c>
      <c r="AR130" s="83">
        <f t="shared" si="524"/>
        <v>407346097.37208742</v>
      </c>
      <c r="AS130" s="83">
        <f t="shared" si="524"/>
        <v>410142069.96729928</v>
      </c>
      <c r="AT130" s="83">
        <f t="shared" si="524"/>
        <v>412938042.56251115</v>
      </c>
      <c r="AU130" s="83">
        <f t="shared" si="524"/>
        <v>416433008.30652601</v>
      </c>
      <c r="AV130" s="83">
        <f t="shared" si="524"/>
        <v>419228980.90173787</v>
      </c>
      <c r="AW130" s="83">
        <f t="shared" si="524"/>
        <v>422723946.64575267</v>
      </c>
      <c r="AX130" s="83">
        <f t="shared" si="524"/>
        <v>426218912.38976759</v>
      </c>
      <c r="AY130" s="83">
        <f t="shared" si="524"/>
        <v>429014884.98497939</v>
      </c>
      <c r="AZ130" s="83">
        <f t="shared" si="524"/>
        <v>432509850.72899425</v>
      </c>
      <c r="BA130" s="83">
        <f t="shared" si="524"/>
        <v>435305823.32420611</v>
      </c>
      <c r="BB130" s="83">
        <f t="shared" si="524"/>
        <v>438800789.06822103</v>
      </c>
      <c r="BC130" s="83">
        <f t="shared" si="524"/>
        <v>442295754.81223583</v>
      </c>
      <c r="BD130" s="83">
        <f t="shared" si="524"/>
        <v>445790720.55625069</v>
      </c>
      <c r="BE130" s="83">
        <f t="shared" si="524"/>
        <v>448586693.15146255</v>
      </c>
      <c r="BF130" s="83">
        <f t="shared" si="524"/>
        <v>452081658.89547735</v>
      </c>
      <c r="BG130" s="83">
        <f t="shared" si="524"/>
        <v>455576624.63949227</v>
      </c>
      <c r="BH130" s="83">
        <f t="shared" si="524"/>
        <v>459071590.38350701</v>
      </c>
      <c r="BI130" s="83"/>
    </row>
    <row r="131" spans="1:61" s="82" customFormat="1" x14ac:dyDescent="0.2">
      <c r="A131" s="82" t="s">
        <v>739</v>
      </c>
      <c r="B131" s="156">
        <v>1.4999999999999999E-2</v>
      </c>
      <c r="C131" s="156">
        <f xml:space="preserve"> 1 + B131</f>
        <v>1.0149999999999999</v>
      </c>
      <c r="D131" s="156">
        <f xml:space="preserve"> (1 + $B131) * C131</f>
        <v>1.0302249999999997</v>
      </c>
      <c r="E131" s="156">
        <f xml:space="preserve"> (1 + $B131) * D131</f>
        <v>1.0456783749999996</v>
      </c>
      <c r="F131" s="156">
        <f xml:space="preserve"> (1 + $B131) * E131</f>
        <v>1.0613635506249994</v>
      </c>
      <c r="G131" s="156">
        <f t="shared" ref="G131:AO131" si="525" xml:space="preserve"> (1 + $B131) * F131</f>
        <v>1.0772840038843743</v>
      </c>
      <c r="H131" s="156">
        <f t="shared" si="525"/>
        <v>1.0934432639426397</v>
      </c>
      <c r="I131" s="156">
        <f t="shared" si="525"/>
        <v>1.1098449129017791</v>
      </c>
      <c r="J131" s="156">
        <f t="shared" si="525"/>
        <v>1.1264925865953057</v>
      </c>
      <c r="K131" s="156">
        <f t="shared" si="525"/>
        <v>1.1433899753942351</v>
      </c>
      <c r="L131" s="156">
        <f t="shared" si="525"/>
        <v>1.1605408250251485</v>
      </c>
      <c r="M131" s="156">
        <f t="shared" si="525"/>
        <v>1.1779489374005256</v>
      </c>
      <c r="N131" s="156">
        <f t="shared" si="525"/>
        <v>1.1956181714615335</v>
      </c>
      <c r="O131" s="156">
        <f t="shared" si="525"/>
        <v>1.2135524440334564</v>
      </c>
      <c r="P131" s="156">
        <f t="shared" si="525"/>
        <v>1.2317557306939582</v>
      </c>
      <c r="Q131" s="156">
        <f t="shared" si="525"/>
        <v>1.2502320666543674</v>
      </c>
      <c r="R131" s="156">
        <f t="shared" si="525"/>
        <v>1.2689855476541827</v>
      </c>
      <c r="S131" s="156">
        <f t="shared" si="525"/>
        <v>1.2880203308689953</v>
      </c>
      <c r="T131" s="156">
        <f t="shared" si="525"/>
        <v>1.3073406358320301</v>
      </c>
      <c r="U131" s="156">
        <f t="shared" si="525"/>
        <v>1.3269507453695104</v>
      </c>
      <c r="V131" s="156">
        <f t="shared" si="525"/>
        <v>1.3468550065500529</v>
      </c>
      <c r="W131" s="156">
        <f t="shared" si="525"/>
        <v>1.3670578316483035</v>
      </c>
      <c r="X131" s="156">
        <f t="shared" si="525"/>
        <v>1.387563699123028</v>
      </c>
      <c r="Y131" s="156">
        <f t="shared" si="525"/>
        <v>1.4083771546098733</v>
      </c>
      <c r="Z131" s="156">
        <f t="shared" si="525"/>
        <v>1.4295028119290214</v>
      </c>
      <c r="AA131" s="156">
        <f t="shared" si="525"/>
        <v>1.4509453541079567</v>
      </c>
      <c r="AB131" s="156">
        <f t="shared" si="525"/>
        <v>1.472709534419576</v>
      </c>
      <c r="AC131" s="156">
        <f t="shared" si="525"/>
        <v>1.4948001774358695</v>
      </c>
      <c r="AD131" s="156">
        <f t="shared" si="525"/>
        <v>1.5172221800974073</v>
      </c>
      <c r="AE131" s="156">
        <f t="shared" si="525"/>
        <v>1.5399805127988682</v>
      </c>
      <c r="AF131" s="156">
        <f t="shared" si="525"/>
        <v>1.5630802204908509</v>
      </c>
      <c r="AG131" s="156">
        <f t="shared" si="525"/>
        <v>1.5865264237982135</v>
      </c>
      <c r="AH131" s="156">
        <f t="shared" si="525"/>
        <v>1.6103243201551867</v>
      </c>
      <c r="AI131" s="156">
        <f t="shared" si="525"/>
        <v>1.6344791849575142</v>
      </c>
      <c r="AJ131" s="156">
        <f t="shared" si="525"/>
        <v>1.6589963727318768</v>
      </c>
      <c r="AK131" s="156">
        <f t="shared" si="525"/>
        <v>1.6838813183228549</v>
      </c>
      <c r="AL131" s="156">
        <f t="shared" si="525"/>
        <v>1.7091395380976975</v>
      </c>
      <c r="AM131" s="156">
        <f t="shared" si="525"/>
        <v>1.7347766311691628</v>
      </c>
      <c r="AN131" s="156">
        <f t="shared" si="525"/>
        <v>1.7607982806367002</v>
      </c>
      <c r="AO131" s="156">
        <f t="shared" si="525"/>
        <v>1.7872102548462505</v>
      </c>
      <c r="AP131" s="156">
        <f t="shared" ref="AP131" si="526" xml:space="preserve"> (1 + $B131) * AO131</f>
        <v>1.8140184086689441</v>
      </c>
      <c r="AQ131" s="156">
        <f t="shared" ref="AQ131" si="527" xml:space="preserve"> (1 + $B131) * AP131</f>
        <v>1.8412286847989781</v>
      </c>
      <c r="AR131" s="156">
        <f t="shared" ref="AR131" si="528" xml:space="preserve"> (1 + $B131) * AQ131</f>
        <v>1.8688471150709625</v>
      </c>
      <c r="AS131" s="156">
        <f t="shared" ref="AS131" si="529" xml:space="preserve"> (1 + $B131) * AR131</f>
        <v>1.8968798217970266</v>
      </c>
      <c r="AT131" s="156">
        <f t="shared" ref="AT131" si="530" xml:space="preserve"> (1 + $B131) * AS131</f>
        <v>1.9253330191239819</v>
      </c>
      <c r="AU131" s="156">
        <f t="shared" ref="AU131" si="531" xml:space="preserve"> (1 + $B131) * AT131</f>
        <v>1.9542130144108414</v>
      </c>
      <c r="AV131" s="156">
        <f t="shared" ref="AV131" si="532" xml:space="preserve"> (1 + $B131) * AU131</f>
        <v>1.9835262096270039</v>
      </c>
      <c r="AW131" s="156">
        <f t="shared" ref="AW131" si="533" xml:space="preserve"> (1 + $B131) * AV131</f>
        <v>2.0132791027714085</v>
      </c>
      <c r="AX131" s="156">
        <f t="shared" ref="AX131" si="534" xml:space="preserve"> (1 + $B131) * AW131</f>
        <v>2.0434782893129793</v>
      </c>
      <c r="AY131" s="156">
        <f t="shared" ref="AY131" si="535" xml:space="preserve"> (1 + $B131) * AX131</f>
        <v>2.0741304636526738</v>
      </c>
      <c r="AZ131" s="156">
        <f t="shared" ref="AZ131" si="536" xml:space="preserve"> (1 + $B131) * AY131</f>
        <v>2.1052424206074636</v>
      </c>
      <c r="BA131" s="156">
        <f t="shared" ref="BA131" si="537" xml:space="preserve"> (1 + $B131) * AZ131</f>
        <v>2.1368210569165753</v>
      </c>
      <c r="BB131" s="156">
        <f t="shared" ref="BB131" si="538" xml:space="preserve"> (1 + $B131) * BA131</f>
        <v>2.1688733727703235</v>
      </c>
      <c r="BC131" s="156">
        <f t="shared" ref="BC131" si="539" xml:space="preserve"> (1 + $B131) * BB131</f>
        <v>2.2014064733618781</v>
      </c>
      <c r="BD131" s="156">
        <f t="shared" ref="BD131" si="540" xml:space="preserve"> (1 + $B131) * BC131</f>
        <v>2.234427570462306</v>
      </c>
      <c r="BE131" s="156">
        <f t="shared" ref="BE131" si="541" xml:space="preserve"> (1 + $B131) * BD131</f>
        <v>2.2679439840192406</v>
      </c>
      <c r="BF131" s="156">
        <f t="shared" ref="BF131" si="542" xml:space="preserve"> (1 + $B131) * BE131</f>
        <v>2.3019631437795289</v>
      </c>
      <c r="BG131" s="156">
        <f t="shared" ref="BG131:BH131" si="543" xml:space="preserve"> (1 + $B131) * BF131</f>
        <v>2.3364925909362215</v>
      </c>
      <c r="BH131" s="156">
        <f t="shared" si="543"/>
        <v>2.3715399798002648</v>
      </c>
      <c r="BI131" s="83"/>
    </row>
    <row r="132" spans="1:61" s="82" customFormat="1" x14ac:dyDescent="0.2">
      <c r="A132" s="82" t="s">
        <v>740</v>
      </c>
      <c r="B132" s="156"/>
      <c r="C132" s="83">
        <f xml:space="preserve"> C130 * C131</f>
        <v>0</v>
      </c>
      <c r="D132" s="83">
        <f xml:space="preserve"> D130 * D131</f>
        <v>0</v>
      </c>
      <c r="E132" s="83">
        <f t="shared" ref="E132:AM132" si="544" xml:space="preserve"> E130 * E131</f>
        <v>53493152.286902018</v>
      </c>
      <c r="F132" s="83">
        <f t="shared" si="544"/>
        <v>267251449.41648456</v>
      </c>
      <c r="G132" s="83">
        <f t="shared" si="544"/>
        <v>313862934.91915792</v>
      </c>
      <c r="H132" s="83">
        <f t="shared" si="544"/>
        <v>361822570.35427302</v>
      </c>
      <c r="I132" s="83">
        <f t="shared" si="544"/>
        <v>409026835.25073469</v>
      </c>
      <c r="J132" s="83">
        <f t="shared" si="544"/>
        <v>457565818.01576036</v>
      </c>
      <c r="K132" s="83">
        <f t="shared" si="544"/>
        <v>508101177.59028798</v>
      </c>
      <c r="L132" s="83">
        <f t="shared" si="544"/>
        <v>564175678.08498669</v>
      </c>
      <c r="M132" s="83">
        <f t="shared" si="544"/>
        <v>595738881.38201344</v>
      </c>
      <c r="N132" s="83">
        <f t="shared" si="544"/>
        <v>598630924.77594626</v>
      </c>
      <c r="O132" s="83">
        <f t="shared" si="544"/>
        <v>412076099.13379294</v>
      </c>
      <c r="P132" s="83">
        <f t="shared" si="544"/>
        <v>422324468.18002629</v>
      </c>
      <c r="Q132" s="83">
        <f t="shared" si="544"/>
        <v>429363359.61767155</v>
      </c>
      <c r="R132" s="83">
        <f t="shared" si="544"/>
        <v>442422004.37712485</v>
      </c>
      <c r="S132" s="83">
        <f t="shared" si="544"/>
        <v>449783637.99566817</v>
      </c>
      <c r="T132" s="83">
        <f t="shared" si="544"/>
        <v>463348621.85547924</v>
      </c>
      <c r="U132" s="83">
        <f t="shared" si="544"/>
        <v>474680410.37302381</v>
      </c>
      <c r="V132" s="83">
        <f t="shared" si="544"/>
        <v>486247899.10617715</v>
      </c>
      <c r="W132" s="83">
        <f t="shared" si="544"/>
        <v>494311428.34694248</v>
      </c>
      <c r="X132" s="83">
        <f t="shared" si="544"/>
        <v>508962719.82022482</v>
      </c>
      <c r="Y132" s="83">
        <f t="shared" si="544"/>
        <v>521247587.83639497</v>
      </c>
      <c r="Z132" s="83">
        <f t="shared" si="544"/>
        <v>533786485.28109062</v>
      </c>
      <c r="AA132" s="83">
        <f t="shared" si="544"/>
        <v>546584268.94186389</v>
      </c>
      <c r="AB132" s="83">
        <f t="shared" si="544"/>
        <v>555612337.78748035</v>
      </c>
      <c r="AC132" s="83">
        <f t="shared" si="544"/>
        <v>571742417.87427616</v>
      </c>
      <c r="AD132" s="83">
        <f t="shared" si="544"/>
        <v>585328384.99650383</v>
      </c>
      <c r="AE132" s="83">
        <f t="shared" si="544"/>
        <v>599193289.08837676</v>
      </c>
      <c r="AF132" s="83">
        <f t="shared" si="544"/>
        <v>613342441.4163816</v>
      </c>
      <c r="AG132" s="83">
        <f t="shared" si="544"/>
        <v>627781249.8241818</v>
      </c>
      <c r="AH132" s="83">
        <f t="shared" si="544"/>
        <v>642515220.43489718</v>
      </c>
      <c r="AI132" s="83">
        <f t="shared" si="544"/>
        <v>662026570.29775143</v>
      </c>
      <c r="AJ132" s="83">
        <f t="shared" si="544"/>
        <v>674260666.02461779</v>
      </c>
      <c r="AK132" s="83">
        <f t="shared" si="544"/>
        <v>689934711.30292356</v>
      </c>
      <c r="AL132" s="83">
        <f t="shared" si="544"/>
        <v>705927269.28972256</v>
      </c>
      <c r="AM132" s="83">
        <f t="shared" si="544"/>
        <v>679977356.96145928</v>
      </c>
      <c r="AN132" s="83">
        <f t="shared" ref="AN132:AP132" si="545" xml:space="preserve"> AN130 * AN131</f>
        <v>695100161.0542376</v>
      </c>
      <c r="AO132" s="83">
        <f t="shared" si="545"/>
        <v>711772902.08809078</v>
      </c>
      <c r="AP132" s="83">
        <f t="shared" si="545"/>
        <v>727521441.37726033</v>
      </c>
      <c r="AQ132" s="83">
        <f t="shared" ref="AQ132:AS132" si="546" xml:space="preserve"> AQ130 * AQ131</f>
        <v>743582287.94213498</v>
      </c>
      <c r="AR132" s="83">
        <f t="shared" si="546"/>
        <v>761267578.90924096</v>
      </c>
      <c r="AS132" s="83">
        <f t="shared" si="546"/>
        <v>777990216.59103429</v>
      </c>
      <c r="AT132" s="83">
        <f t="shared" ref="AT132:AY132" si="547" xml:space="preserve"> AT130 * AT131</f>
        <v>795043248.1980269</v>
      </c>
      <c r="AU132" s="83">
        <f t="shared" si="547"/>
        <v>813798804.46287119</v>
      </c>
      <c r="AV132" s="83">
        <f t="shared" si="547"/>
        <v>831551671.4538157</v>
      </c>
      <c r="AW132" s="83">
        <f t="shared" si="547"/>
        <v>851061288.0229497</v>
      </c>
      <c r="AX132" s="83">
        <f t="shared" si="547"/>
        <v>870969093.96308088</v>
      </c>
      <c r="AY132" s="83">
        <f t="shared" si="547"/>
        <v>889832842.30779386</v>
      </c>
      <c r="AZ132" s="83">
        <f t="shared" ref="AZ132:BE132" si="548" xml:space="preserve"> AZ130 * AZ131</f>
        <v>910538085.08528066</v>
      </c>
      <c r="BA132" s="83">
        <f t="shared" si="548"/>
        <v>930170649.47757006</v>
      </c>
      <c r="BB132" s="83">
        <f t="shared" si="548"/>
        <v>951703347.36067188</v>
      </c>
      <c r="BC132" s="83">
        <f t="shared" si="548"/>
        <v>973672737.78413403</v>
      </c>
      <c r="BD132" s="83">
        <f t="shared" si="548"/>
        <v>996087076.66714406</v>
      </c>
      <c r="BE132" s="83">
        <f t="shared" si="548"/>
        <v>1017369492.0439446</v>
      </c>
      <c r="BF132" s="83">
        <f t="shared" ref="BF132:BG132" si="549" xml:space="preserve"> BF130 * BF131</f>
        <v>1040675316.7560977</v>
      </c>
      <c r="BG132" s="83">
        <f t="shared" si="549"/>
        <v>1064451408.0739057</v>
      </c>
      <c r="BH132" s="83">
        <f t="shared" ref="BH132" si="550" xml:space="preserve"> BH130 * BH131</f>
        <v>1088706630.1849775</v>
      </c>
      <c r="BI132" s="83"/>
    </row>
    <row r="133" spans="1:61" s="104" customFormat="1" x14ac:dyDescent="0.2">
      <c r="B133" s="160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</row>
    <row r="134" spans="1:61" s="82" customFormat="1" x14ac:dyDescent="0.2">
      <c r="A134" s="82" t="s">
        <v>28</v>
      </c>
      <c r="B134" s="156"/>
      <c r="C134" s="83">
        <f>SUM(C7,C11:C12,C19:C20,C25,C35:C36,C44:C45,C71:C72,C77,C87:C88,C59,C64,C106)</f>
        <v>2371160</v>
      </c>
      <c r="D134" s="83">
        <f t="shared" ref="D134:BH134" si="551">SUM(D7,D11:D12,D19:D20,D25,D35:D36,D44:D45,D71:D72,D77,D87:D88,D59,D64,D106)</f>
        <v>2371160</v>
      </c>
      <c r="E134" s="83">
        <f t="shared" si="551"/>
        <v>2371160</v>
      </c>
      <c r="F134" s="83">
        <f t="shared" si="551"/>
        <v>2371160</v>
      </c>
      <c r="G134" s="83">
        <f t="shared" si="551"/>
        <v>76120408.182494089</v>
      </c>
      <c r="H134" s="83">
        <f t="shared" si="551"/>
        <v>154990045.02470696</v>
      </c>
      <c r="I134" s="83">
        <f t="shared" si="551"/>
        <v>233776686.77356607</v>
      </c>
      <c r="J134" s="83">
        <f t="shared" si="551"/>
        <v>314741668.70973718</v>
      </c>
      <c r="K134" s="83">
        <f t="shared" si="551"/>
        <v>396546990.8332206</v>
      </c>
      <c r="L134" s="83">
        <f t="shared" si="551"/>
        <v>475327269.39094341</v>
      </c>
      <c r="M134" s="83">
        <f t="shared" si="551"/>
        <v>717395169.04409611</v>
      </c>
      <c r="N134" s="83">
        <f t="shared" si="551"/>
        <v>763534199.7252301</v>
      </c>
      <c r="O134" s="83">
        <f t="shared" si="551"/>
        <v>810960851.50179434</v>
      </c>
      <c r="P134" s="83">
        <f t="shared" si="551"/>
        <v>820313036.82007444</v>
      </c>
      <c r="Q134" s="83">
        <f t="shared" si="551"/>
        <v>829730454.51592207</v>
      </c>
      <c r="R134" s="83">
        <f t="shared" si="551"/>
        <v>757782131.77561092</v>
      </c>
      <c r="S134" s="83">
        <f t="shared" si="551"/>
        <v>767313706.13220167</v>
      </c>
      <c r="T134" s="83">
        <f t="shared" si="551"/>
        <v>776479540.05263376</v>
      </c>
      <c r="U134" s="83">
        <f t="shared" si="551"/>
        <v>786125271.06996715</v>
      </c>
      <c r="V134" s="83">
        <f t="shared" si="551"/>
        <v>795836234.46486819</v>
      </c>
      <c r="W134" s="83">
        <f t="shared" si="551"/>
        <v>805612430.23733652</v>
      </c>
      <c r="X134" s="83">
        <f t="shared" si="551"/>
        <v>815022885.57364619</v>
      </c>
      <c r="Y134" s="83">
        <f t="shared" si="551"/>
        <v>824913238.00685763</v>
      </c>
      <c r="Z134" s="83">
        <f t="shared" si="551"/>
        <v>834868822.81763637</v>
      </c>
      <c r="AA134" s="83">
        <f t="shared" si="551"/>
        <v>853889640.00598252</v>
      </c>
      <c r="AB134" s="83">
        <f t="shared" si="551"/>
        <v>863975689.57189608</v>
      </c>
      <c r="AC134" s="83">
        <f t="shared" si="551"/>
        <v>873695998.7016511</v>
      </c>
      <c r="AD134" s="83">
        <f t="shared" si="551"/>
        <v>883896204.92830777</v>
      </c>
      <c r="AE134" s="83">
        <f t="shared" si="551"/>
        <v>894161643.53253162</v>
      </c>
      <c r="AF134" s="83">
        <f t="shared" si="551"/>
        <v>904492314.514323</v>
      </c>
      <c r="AG134" s="83">
        <f t="shared" si="551"/>
        <v>914888217.87368202</v>
      </c>
      <c r="AH134" s="83">
        <f t="shared" si="551"/>
        <v>925349353.6106081</v>
      </c>
      <c r="AI134" s="83">
        <f t="shared" si="551"/>
        <v>935875721.72510171</v>
      </c>
      <c r="AJ134" s="83">
        <f t="shared" si="551"/>
        <v>946898295.0308888</v>
      </c>
      <c r="AK134" s="83">
        <f t="shared" si="551"/>
        <v>957571435.99490905</v>
      </c>
      <c r="AL134" s="83">
        <f t="shared" si="551"/>
        <v>968309809.33649683</v>
      </c>
      <c r="AM134" s="83">
        <f t="shared" si="551"/>
        <v>979113415.05565202</v>
      </c>
      <c r="AN134" s="83">
        <f t="shared" si="551"/>
        <v>989982253.15237451</v>
      </c>
      <c r="AO134" s="83">
        <f t="shared" si="551"/>
        <v>1001347296.4403903</v>
      </c>
      <c r="AP134" s="83">
        <f t="shared" si="551"/>
        <v>1012362907.3866396</v>
      </c>
      <c r="AQ134" s="83">
        <f t="shared" si="551"/>
        <v>1023443750.7104564</v>
      </c>
      <c r="AR134" s="83">
        <f t="shared" si="551"/>
        <v>1035020799.2255663</v>
      </c>
      <c r="AS134" s="83">
        <f t="shared" si="551"/>
        <v>1046248415.3989097</v>
      </c>
      <c r="AT134" s="83">
        <f t="shared" si="551"/>
        <v>1057541263.9498205</v>
      </c>
      <c r="AU134" s="83">
        <f t="shared" si="551"/>
        <v>1069330317.6920247</v>
      </c>
      <c r="AV134" s="83">
        <f t="shared" si="551"/>
        <v>1080769939.0924621</v>
      </c>
      <c r="AW134" s="83">
        <f t="shared" si="551"/>
        <v>1092705765.6841929</v>
      </c>
      <c r="AX134" s="83">
        <f t="shared" si="551"/>
        <v>1104723132.7478831</v>
      </c>
      <c r="AY134" s="83">
        <f t="shared" si="551"/>
        <v>1116391067.4698062</v>
      </c>
      <c r="AZ134" s="83">
        <f t="shared" si="551"/>
        <v>1128555207.383023</v>
      </c>
      <c r="BA134" s="83">
        <f t="shared" si="551"/>
        <v>1140369914.954473</v>
      </c>
      <c r="BB134" s="83">
        <f t="shared" si="551"/>
        <v>1152680827.7172167</v>
      </c>
      <c r="BC134" s="83">
        <f t="shared" si="551"/>
        <v>1165073280.9519193</v>
      </c>
      <c r="BD134" s="83">
        <f t="shared" si="551"/>
        <v>1177547274.6585813</v>
      </c>
      <c r="BE134" s="83">
        <f t="shared" si="551"/>
        <v>1189671836.0234768</v>
      </c>
      <c r="BF134" s="83">
        <f t="shared" si="551"/>
        <v>1202292602.5796654</v>
      </c>
      <c r="BG134" s="83">
        <f t="shared" si="551"/>
        <v>1214994909.6078134</v>
      </c>
      <c r="BH134" s="83">
        <f t="shared" si="551"/>
        <v>1227778757.1079206</v>
      </c>
      <c r="BI134" s="83"/>
    </row>
    <row r="135" spans="1:61" hidden="1" x14ac:dyDescent="0.2">
      <c r="A135" t="s">
        <v>649</v>
      </c>
      <c r="B135" s="31"/>
      <c r="C135" s="10">
        <f t="shared" ref="C135:AM135" si="552">C129-C134</f>
        <v>-2371160</v>
      </c>
      <c r="D135" s="10">
        <f t="shared" si="552"/>
        <v>-2371160</v>
      </c>
      <c r="E135" s="10">
        <f t="shared" si="552"/>
        <v>-2371160</v>
      </c>
      <c r="F135" s="10">
        <f t="shared" si="552"/>
        <v>-2371160</v>
      </c>
      <c r="G135" s="10">
        <f t="shared" si="552"/>
        <v>111005209.18008788</v>
      </c>
      <c r="H135" s="10">
        <f t="shared" si="552"/>
        <v>238513406.08633542</v>
      </c>
      <c r="I135" s="10">
        <f t="shared" si="552"/>
        <v>379096643.88247484</v>
      </c>
      <c r="J135" s="10">
        <f t="shared" si="552"/>
        <v>527876974.10321045</v>
      </c>
      <c r="K135" s="10">
        <f t="shared" si="552"/>
        <v>686192396.74854171</v>
      </c>
      <c r="L135" s="10">
        <f t="shared" si="552"/>
        <v>851092588.45658743</v>
      </c>
      <c r="M135" s="10">
        <f t="shared" si="552"/>
        <v>866007174.45031559</v>
      </c>
      <c r="N135" s="10">
        <f t="shared" si="552"/>
        <v>1004121059.9037265</v>
      </c>
      <c r="O135" s="10">
        <f t="shared" si="552"/>
        <v>1152412229.4590766</v>
      </c>
      <c r="P135" s="10">
        <f t="shared" si="552"/>
        <v>1209638224.4616652</v>
      </c>
      <c r="Q135" s="10">
        <f t="shared" si="552"/>
        <v>1267433604.4908044</v>
      </c>
      <c r="R135" s="10">
        <f t="shared" si="552"/>
        <v>1403920555.6514025</v>
      </c>
      <c r="S135" s="10">
        <f t="shared" si="552"/>
        <v>1462771639.3851342</v>
      </c>
      <c r="T135" s="10">
        <f t="shared" si="552"/>
        <v>1519195734.4340677</v>
      </c>
      <c r="U135" s="10">
        <f t="shared" si="552"/>
        <v>1579102521.8723927</v>
      </c>
      <c r="V135" s="10">
        <f t="shared" si="552"/>
        <v>1639578694.3372688</v>
      </c>
      <c r="W135" s="10">
        <f t="shared" si="552"/>
        <v>1700624251.8286953</v>
      </c>
      <c r="X135" s="10">
        <f t="shared" si="552"/>
        <v>1759005701.002809</v>
      </c>
      <c r="Y135" s="10">
        <f t="shared" si="552"/>
        <v>1821106962.1988289</v>
      </c>
      <c r="Z135" s="10">
        <f t="shared" si="552"/>
        <v>1883777608.4213996</v>
      </c>
      <c r="AA135" s="10">
        <f t="shared" si="552"/>
        <v>1938017639.6705213</v>
      </c>
      <c r="AB135" s="10">
        <f t="shared" si="552"/>
        <v>2001827055.9461942</v>
      </c>
      <c r="AC135" s="10">
        <f t="shared" si="552"/>
        <v>2062675964.3639092</v>
      </c>
      <c r="AD135" s="10">
        <f t="shared" si="552"/>
        <v>2127541084.3441746</v>
      </c>
      <c r="AE135" s="10">
        <f t="shared" si="552"/>
        <v>2192975589.3509912</v>
      </c>
      <c r="AF135" s="10">
        <f t="shared" si="552"/>
        <v>2258979479.3843584</v>
      </c>
      <c r="AG135" s="10">
        <f t="shared" si="552"/>
        <v>2325552754.4442768</v>
      </c>
      <c r="AH135" s="10">
        <f t="shared" si="552"/>
        <v>2392695414.5307465</v>
      </c>
      <c r="AI135" s="10">
        <f t="shared" si="552"/>
        <v>2460407459.6437664</v>
      </c>
      <c r="AJ135" s="10">
        <f t="shared" si="552"/>
        <v>2532633742.0247469</v>
      </c>
      <c r="AK135" s="10">
        <f t="shared" si="552"/>
        <v>2601567623.5393782</v>
      </c>
      <c r="AL135" s="10">
        <f t="shared" si="552"/>
        <v>2671070890.0805602</v>
      </c>
      <c r="AM135" s="10">
        <f t="shared" si="552"/>
        <v>2741143541.648293</v>
      </c>
      <c r="AN135" s="10">
        <f t="shared" ref="AN135:AP135" si="553">AN129-AN134</f>
        <v>2811785578.2425776</v>
      </c>
      <c r="AO135" s="10">
        <f t="shared" si="553"/>
        <v>2887238251.6454649</v>
      </c>
      <c r="AP135" s="10">
        <f t="shared" si="553"/>
        <v>2959102124.6413598</v>
      </c>
      <c r="AQ135" s="10">
        <f t="shared" ref="AQ135:AS135" si="554">AQ129-AQ134</f>
        <v>3031535382.6638055</v>
      </c>
      <c r="AR135" s="10">
        <f t="shared" si="554"/>
        <v>3108957117.2192416</v>
      </c>
      <c r="AS135" s="10">
        <f t="shared" si="554"/>
        <v>3182612211.6432981</v>
      </c>
      <c r="AT135" s="10">
        <f t="shared" ref="AT135:AY135" si="555">AT129-AT134</f>
        <v>3256836691.0939054</v>
      </c>
      <c r="AU135" s="10">
        <f t="shared" si="555"/>
        <v>3336227486.8018889</v>
      </c>
      <c r="AV135" s="10">
        <f t="shared" si="555"/>
        <v>3411673802.6541085</v>
      </c>
      <c r="AW135" s="10">
        <f t="shared" si="555"/>
        <v>3492404994.5799608</v>
      </c>
      <c r="AX135" s="10">
        <f t="shared" si="555"/>
        <v>3573847917.7890015</v>
      </c>
      <c r="AY135" s="10">
        <f t="shared" si="555"/>
        <v>3651168521.417891</v>
      </c>
      <c r="AZ135" s="10">
        <f t="shared" ref="AZ135:BE135" si="556">AZ129-AZ134</f>
        <v>3733951840.844799</v>
      </c>
      <c r="BA135" s="10">
        <f t="shared" si="556"/>
        <v>3812494280.8753009</v>
      </c>
      <c r="BB135" s="10">
        <f t="shared" si="556"/>
        <v>3896617996.5200777</v>
      </c>
      <c r="BC135" s="10">
        <f t="shared" si="556"/>
        <v>3981453443.4480448</v>
      </c>
      <c r="BD135" s="10">
        <f t="shared" si="556"/>
        <v>4067000621.6591992</v>
      </c>
      <c r="BE135" s="10">
        <f t="shared" si="556"/>
        <v>4148069800.8414307</v>
      </c>
      <c r="BF135" s="10">
        <f t="shared" ref="BF135:BG135" si="557">BF129-BF134</f>
        <v>4234957375.2704544</v>
      </c>
      <c r="BG135" s="10">
        <f t="shared" si="557"/>
        <v>4322556680.982666</v>
      </c>
      <c r="BH135" s="10">
        <f t="shared" ref="BH135" si="558">BH129-BH134</f>
        <v>4410867717.9780664</v>
      </c>
      <c r="BI135" s="10"/>
    </row>
    <row r="136" spans="1:61" hidden="1" x14ac:dyDescent="0.2">
      <c r="A136" t="s">
        <v>29</v>
      </c>
      <c r="B136" s="31"/>
      <c r="C136" s="10">
        <f>C135</f>
        <v>-2371160</v>
      </c>
      <c r="D136" s="10">
        <f>SUM($C135:D135)</f>
        <v>-4742320</v>
      </c>
      <c r="E136" s="10">
        <f>SUM($C135:E135)</f>
        <v>-7113480</v>
      </c>
      <c r="F136" s="10">
        <f>SUM($C135:F135)</f>
        <v>-9484640</v>
      </c>
      <c r="G136" s="10">
        <f>SUM($C135:G135)</f>
        <v>101520569.18008788</v>
      </c>
      <c r="H136" s="10">
        <f>SUM($C135:H135)</f>
        <v>340033975.26642329</v>
      </c>
      <c r="I136" s="10">
        <f>SUM($C135:I135)</f>
        <v>719130619.14889812</v>
      </c>
      <c r="J136" s="10">
        <f>SUM($C135:J135)</f>
        <v>1247007593.2521086</v>
      </c>
      <c r="K136" s="10">
        <f>SUM($C135:K135)</f>
        <v>1933199990.0006504</v>
      </c>
      <c r="L136" s="10">
        <f>SUM($C135:L135)</f>
        <v>2784292578.4572377</v>
      </c>
      <c r="M136" s="10">
        <f>SUM($C135:M135)</f>
        <v>3650299752.9075532</v>
      </c>
      <c r="N136" s="10">
        <f>SUM($C135:N135)</f>
        <v>4654420812.8112793</v>
      </c>
      <c r="O136" s="10">
        <f>SUM($C135:O135)</f>
        <v>5806833042.2703562</v>
      </c>
      <c r="P136" s="10">
        <f>SUM($C135:P135)</f>
        <v>7016471266.7320213</v>
      </c>
      <c r="Q136" s="10">
        <f>SUM($C135:Q135)</f>
        <v>8283904871.222826</v>
      </c>
      <c r="R136" s="10">
        <f>SUM($C135:R135)</f>
        <v>9687825426.8742294</v>
      </c>
      <c r="S136" s="10">
        <f>SUM($C135:S135)</f>
        <v>11150597066.259363</v>
      </c>
      <c r="T136" s="10">
        <f>SUM($C135:T135)</f>
        <v>12669792800.693432</v>
      </c>
      <c r="U136" s="10">
        <f>SUM($C135:U135)</f>
        <v>14248895322.565825</v>
      </c>
      <c r="V136" s="10">
        <f>SUM($C135:V135)</f>
        <v>15888474016.903093</v>
      </c>
      <c r="W136" s="10">
        <f>SUM($C135:W135)</f>
        <v>17589098268.731789</v>
      </c>
      <c r="X136" s="10">
        <f>SUM($C135:X135)</f>
        <v>19348103969.734596</v>
      </c>
      <c r="Y136" s="10">
        <f>SUM($C135:Y135)</f>
        <v>21169210931.933426</v>
      </c>
      <c r="Z136" s="10">
        <f>SUM($C135:Z135)</f>
        <v>23052988540.354824</v>
      </c>
      <c r="AA136" s="10">
        <f>SUM($C135:AA135)</f>
        <v>24991006180.025345</v>
      </c>
      <c r="AB136" s="10">
        <f>SUM($C135:AB135)</f>
        <v>26992833235.971539</v>
      </c>
      <c r="AC136" s="10">
        <f>SUM($C135:AC135)</f>
        <v>29055509200.335449</v>
      </c>
      <c r="AD136" s="10">
        <f>SUM($C135:AD135)</f>
        <v>31183050284.679623</v>
      </c>
      <c r="AE136" s="10">
        <f>SUM($C135:AE135)</f>
        <v>33376025874.030613</v>
      </c>
      <c r="AF136" s="10">
        <f>SUM($C135:AF135)</f>
        <v>35635005353.41497</v>
      </c>
      <c r="AG136" s="10">
        <f>SUM($C135:AG135)</f>
        <v>37960558107.859245</v>
      </c>
      <c r="AH136" s="10">
        <f>SUM($C135:AH135)</f>
        <v>40353253522.389992</v>
      </c>
      <c r="AI136" s="10">
        <f>SUM($C135:AI135)</f>
        <v>42813660982.03376</v>
      </c>
      <c r="AJ136" s="10">
        <f>SUM($C135:AJ135)</f>
        <v>45346294724.05851</v>
      </c>
      <c r="AK136" s="10">
        <f>SUM($C135:AK135)</f>
        <v>47947862347.597885</v>
      </c>
      <c r="AL136" s="10">
        <f>SUM($C135:AL135)</f>
        <v>50618933237.678444</v>
      </c>
      <c r="AM136" s="10">
        <f>SUM($C135:AM135)</f>
        <v>53360076779.326736</v>
      </c>
      <c r="AN136" s="10">
        <f>SUM($C135:AN135)</f>
        <v>56171862357.569313</v>
      </c>
      <c r="AO136" s="10">
        <f>SUM($C135:AO135)</f>
        <v>59059100609.214775</v>
      </c>
      <c r="AP136" s="10">
        <f>SUM($C135:AP135)</f>
        <v>62018202733.856133</v>
      </c>
      <c r="AQ136" s="10">
        <f>SUM($C135:AQ135)</f>
        <v>65049738116.519936</v>
      </c>
      <c r="AR136" s="10">
        <f>SUM($C135:AR135)</f>
        <v>68158695233.739174</v>
      </c>
      <c r="AS136" s="10">
        <f>SUM($C135:AS135)</f>
        <v>71341307445.382477</v>
      </c>
      <c r="AT136" s="10">
        <f>SUM($C135:AT135)</f>
        <v>74598144136.476379</v>
      </c>
      <c r="AU136" s="10">
        <f>SUM($C135:AU135)</f>
        <v>77934371623.278275</v>
      </c>
      <c r="AV136" s="10">
        <f>SUM($C135:AV135)</f>
        <v>81346045425.932388</v>
      </c>
      <c r="AW136" s="10">
        <f>SUM($C135:AW135)</f>
        <v>84838450420.512344</v>
      </c>
      <c r="AX136" s="10">
        <f>SUM($C135:AX135)</f>
        <v>88412298338.301346</v>
      </c>
      <c r="AY136" s="10">
        <f>SUM($C135:AY135)</f>
        <v>92063466859.719238</v>
      </c>
      <c r="AZ136" s="10">
        <f>SUM($C135:AZ135)</f>
        <v>95797418700.564041</v>
      </c>
      <c r="BA136" s="10">
        <f>SUM($C135:BA135)</f>
        <v>99609912981.439346</v>
      </c>
      <c r="BB136" s="10">
        <f>SUM($C135:BB135)</f>
        <v>103506530977.95943</v>
      </c>
      <c r="BC136" s="10">
        <f>SUM($C135:BC135)</f>
        <v>107487984421.40747</v>
      </c>
      <c r="BD136" s="10">
        <f>SUM($C135:BD135)</f>
        <v>111554985043.06667</v>
      </c>
      <c r="BE136" s="10">
        <f>SUM($C135:BE135)</f>
        <v>115703054843.9081</v>
      </c>
      <c r="BF136" s="10">
        <f>SUM($C135:BF135)</f>
        <v>119938012219.17856</v>
      </c>
      <c r="BG136" s="10">
        <f>SUM($C135:BG135)</f>
        <v>124260568900.16122</v>
      </c>
      <c r="BH136" s="10">
        <f>SUM($C135:BH135)</f>
        <v>128671436618.1393</v>
      </c>
      <c r="BI136" s="10"/>
    </row>
    <row r="137" spans="1:61" hidden="1" x14ac:dyDescent="0.2">
      <c r="A137" s="6" t="s">
        <v>30</v>
      </c>
      <c r="B137" s="161"/>
      <c r="C137" s="10">
        <f t="shared" ref="C137:AM137" si="559">IF(C129-C134&gt;0,C129-C134,0)</f>
        <v>0</v>
      </c>
      <c r="D137" s="10">
        <f t="shared" si="559"/>
        <v>0</v>
      </c>
      <c r="E137" s="10">
        <f t="shared" si="559"/>
        <v>0</v>
      </c>
      <c r="F137" s="10">
        <f t="shared" si="559"/>
        <v>0</v>
      </c>
      <c r="G137" s="10">
        <f t="shared" si="559"/>
        <v>111005209.18008788</v>
      </c>
      <c r="H137" s="10">
        <f t="shared" si="559"/>
        <v>238513406.08633542</v>
      </c>
      <c r="I137" s="10">
        <f t="shared" si="559"/>
        <v>379096643.88247484</v>
      </c>
      <c r="J137" s="10">
        <f t="shared" si="559"/>
        <v>527876974.10321045</v>
      </c>
      <c r="K137" s="10">
        <f t="shared" si="559"/>
        <v>686192396.74854171</v>
      </c>
      <c r="L137" s="10">
        <f t="shared" si="559"/>
        <v>851092588.45658743</v>
      </c>
      <c r="M137" s="10">
        <f t="shared" si="559"/>
        <v>866007174.45031559</v>
      </c>
      <c r="N137" s="10">
        <f t="shared" si="559"/>
        <v>1004121059.9037265</v>
      </c>
      <c r="O137" s="10">
        <f t="shared" si="559"/>
        <v>1152412229.4590766</v>
      </c>
      <c r="P137" s="10">
        <f t="shared" si="559"/>
        <v>1209638224.4616652</v>
      </c>
      <c r="Q137" s="10">
        <f t="shared" si="559"/>
        <v>1267433604.4908044</v>
      </c>
      <c r="R137" s="10">
        <f t="shared" si="559"/>
        <v>1403920555.6514025</v>
      </c>
      <c r="S137" s="10">
        <f t="shared" si="559"/>
        <v>1462771639.3851342</v>
      </c>
      <c r="T137" s="10">
        <f t="shared" si="559"/>
        <v>1519195734.4340677</v>
      </c>
      <c r="U137" s="10">
        <f t="shared" si="559"/>
        <v>1579102521.8723927</v>
      </c>
      <c r="V137" s="10">
        <f t="shared" si="559"/>
        <v>1639578694.3372688</v>
      </c>
      <c r="W137" s="10">
        <f t="shared" si="559"/>
        <v>1700624251.8286953</v>
      </c>
      <c r="X137" s="10">
        <f t="shared" si="559"/>
        <v>1759005701.002809</v>
      </c>
      <c r="Y137" s="10">
        <f t="shared" si="559"/>
        <v>1821106962.1988289</v>
      </c>
      <c r="Z137" s="10">
        <f t="shared" si="559"/>
        <v>1883777608.4213996</v>
      </c>
      <c r="AA137" s="10">
        <f t="shared" si="559"/>
        <v>1938017639.6705213</v>
      </c>
      <c r="AB137" s="10">
        <f t="shared" si="559"/>
        <v>2001827055.9461942</v>
      </c>
      <c r="AC137" s="10">
        <f t="shared" si="559"/>
        <v>2062675964.3639092</v>
      </c>
      <c r="AD137" s="10">
        <f t="shared" si="559"/>
        <v>2127541084.3441746</v>
      </c>
      <c r="AE137" s="10">
        <f t="shared" si="559"/>
        <v>2192975589.3509912</v>
      </c>
      <c r="AF137" s="10">
        <f t="shared" si="559"/>
        <v>2258979479.3843584</v>
      </c>
      <c r="AG137" s="10">
        <f t="shared" si="559"/>
        <v>2325552754.4442768</v>
      </c>
      <c r="AH137" s="10">
        <f t="shared" si="559"/>
        <v>2392695414.5307465</v>
      </c>
      <c r="AI137" s="10">
        <f t="shared" si="559"/>
        <v>2460407459.6437664</v>
      </c>
      <c r="AJ137" s="10">
        <f t="shared" si="559"/>
        <v>2532633742.0247469</v>
      </c>
      <c r="AK137" s="10">
        <f t="shared" si="559"/>
        <v>2601567623.5393782</v>
      </c>
      <c r="AL137" s="10">
        <f t="shared" si="559"/>
        <v>2671070890.0805602</v>
      </c>
      <c r="AM137" s="10">
        <f t="shared" si="559"/>
        <v>2741143541.648293</v>
      </c>
      <c r="AN137" s="10">
        <f t="shared" ref="AN137:AP137" si="560">IF(AN129-AN134&gt;0,AN129-AN134,0)</f>
        <v>2811785578.2425776</v>
      </c>
      <c r="AO137" s="10">
        <f t="shared" si="560"/>
        <v>2887238251.6454649</v>
      </c>
      <c r="AP137" s="10">
        <f t="shared" si="560"/>
        <v>2959102124.6413598</v>
      </c>
      <c r="AQ137" s="10">
        <f t="shared" ref="AQ137:AS137" si="561">IF(AQ129-AQ134&gt;0,AQ129-AQ134,0)</f>
        <v>3031535382.6638055</v>
      </c>
      <c r="AR137" s="10">
        <f t="shared" si="561"/>
        <v>3108957117.2192416</v>
      </c>
      <c r="AS137" s="10">
        <f t="shared" si="561"/>
        <v>3182612211.6432981</v>
      </c>
      <c r="AT137" s="10">
        <f t="shared" ref="AT137:AY137" si="562">IF(AT129-AT134&gt;0,AT129-AT134,0)</f>
        <v>3256836691.0939054</v>
      </c>
      <c r="AU137" s="10">
        <f t="shared" si="562"/>
        <v>3336227486.8018889</v>
      </c>
      <c r="AV137" s="10">
        <f t="shared" si="562"/>
        <v>3411673802.6541085</v>
      </c>
      <c r="AW137" s="10">
        <f t="shared" si="562"/>
        <v>3492404994.5799608</v>
      </c>
      <c r="AX137" s="10">
        <f t="shared" si="562"/>
        <v>3573847917.7890015</v>
      </c>
      <c r="AY137" s="10">
        <f t="shared" si="562"/>
        <v>3651168521.417891</v>
      </c>
      <c r="AZ137" s="10">
        <f t="shared" ref="AZ137:BE137" si="563">IF(AZ129-AZ134&gt;0,AZ129-AZ134,0)</f>
        <v>3733951840.844799</v>
      </c>
      <c r="BA137" s="10">
        <f t="shared" si="563"/>
        <v>3812494280.8753009</v>
      </c>
      <c r="BB137" s="10">
        <f t="shared" si="563"/>
        <v>3896617996.5200777</v>
      </c>
      <c r="BC137" s="10">
        <f t="shared" si="563"/>
        <v>3981453443.4480448</v>
      </c>
      <c r="BD137" s="10">
        <f t="shared" si="563"/>
        <v>4067000621.6591992</v>
      </c>
      <c r="BE137" s="10">
        <f t="shared" si="563"/>
        <v>4148069800.8414307</v>
      </c>
      <c r="BF137" s="10">
        <f t="shared" ref="BF137:BG137" si="564">IF(BF129-BF134&gt;0,BF129-BF134,0)</f>
        <v>4234957375.2704544</v>
      </c>
      <c r="BG137" s="10">
        <f t="shared" si="564"/>
        <v>4322556680.982666</v>
      </c>
      <c r="BH137" s="10">
        <f t="shared" ref="BH137" si="565">IF(BH129-BH134&gt;0,BH129-BH134,0)</f>
        <v>4410867717.9780664</v>
      </c>
      <c r="BI137" s="10"/>
    </row>
    <row r="138" spans="1:61" hidden="1" x14ac:dyDescent="0.2">
      <c r="A138" t="s">
        <v>31</v>
      </c>
      <c r="B138" s="31"/>
      <c r="C138" s="10">
        <f>IF(C136&lt;0,SUM(C130)-C136,0)</f>
        <v>2371160</v>
      </c>
      <c r="D138" s="10">
        <f>IF(SUM($C130:D130)-D136&gt;C138,SUM($C130:D130)-D136,C138)</f>
        <v>4742320</v>
      </c>
      <c r="E138" s="10">
        <f>IF(SUM($C130:E130)-E136&gt;D138,SUM($C130:E130)-E136,D138)</f>
        <v>58269890.580740981</v>
      </c>
      <c r="F138" s="10">
        <f>IF(SUM($C130:F130)-F136&gt;E138,SUM($C130:F130)-F136,E138)</f>
        <v>312441151.74222296</v>
      </c>
      <c r="G138" s="10">
        <f>IF(SUM($C130:G130)-G136&gt;F138,SUM($C130:G130)-G136,F138)</f>
        <v>492782452.6629619</v>
      </c>
      <c r="H138" s="10">
        <f>IF(SUM($C130:H130)-H136&gt;G138,SUM($C130:H130)-H136,G138)</f>
        <v>585171053.37087536</v>
      </c>
      <c r="I138" s="10">
        <f>IF(SUM($C130:I130)-I136&gt;H138,SUM($C130:I130)-I136,H138)</f>
        <v>585171053.37087536</v>
      </c>
      <c r="J138" s="10">
        <f>IF(SUM($C130:J130)-J136&gt;I138,SUM($C130:J130)-J136,I138)</f>
        <v>585171053.37087536</v>
      </c>
      <c r="K138" s="10">
        <f>IF(SUM($C130:K130)-K136&gt;J138,SUM($C130:K130)-K136,J138)</f>
        <v>585171053.37087536</v>
      </c>
      <c r="L138" s="10">
        <f>IF(SUM($C130:L130)-L136&gt;K138,SUM($C130:L130)-L136,K138)</f>
        <v>585171053.37087536</v>
      </c>
      <c r="M138" s="10">
        <f>IF(SUM($C130:M130)-M136&gt;L138,SUM($C130:M130)-M136,L138)</f>
        <v>585171053.37087536</v>
      </c>
      <c r="N138" s="10">
        <f>IF(SUM($C130:N130)-N136&gt;M138,SUM($C130:N130)-N136,M138)</f>
        <v>585171053.37087536</v>
      </c>
      <c r="O138" s="10">
        <f>IF(SUM($C130:O130)-O136&gt;N138,SUM($C130:O130)-O136,N138)</f>
        <v>585171053.37087536</v>
      </c>
      <c r="P138" s="10">
        <f>IF(SUM($C130:P130)-P136&gt;O138,SUM($C130:P130)-P136,O138)</f>
        <v>585171053.37087536</v>
      </c>
      <c r="Q138" s="10">
        <f>IF(SUM($C130:Q130)-Q136&gt;P138,SUM($C130:Q130)-Q136,P138)</f>
        <v>585171053.37087536</v>
      </c>
      <c r="R138" s="10">
        <f>IF(SUM($C130:R130)-R136&gt;Q138,SUM($C130:R130)-R136,Q138)</f>
        <v>585171053.37087536</v>
      </c>
      <c r="S138" s="10">
        <f>IF(SUM($C130:S130)-S136&gt;R138,SUM($C130:S130)-S136,R138)</f>
        <v>585171053.37087536</v>
      </c>
      <c r="T138" s="10">
        <f>IF(SUM($C130:T130)-T136&gt;S138,SUM($C130:T130)-T136,S138)</f>
        <v>585171053.37087536</v>
      </c>
      <c r="U138" s="10">
        <f>IF(SUM($C130:U130)-U136&gt;T138,SUM($C130:U130)-U136,T138)</f>
        <v>585171053.37087536</v>
      </c>
      <c r="V138" s="10">
        <f>IF(SUM($C130:V130)-V136&gt;U138,SUM($C130:V130)-V136,U138)</f>
        <v>585171053.37087536</v>
      </c>
      <c r="W138" s="10">
        <f>IF(SUM($C130:W130)-W136&gt;V138,SUM($C130:W130)-W136,V138)</f>
        <v>585171053.37087536</v>
      </c>
      <c r="X138" s="10">
        <f>IF(SUM($C130:X130)-X136&gt;W138,SUM($C130:X130)-X136,W138)</f>
        <v>585171053.37087536</v>
      </c>
      <c r="Y138" s="10">
        <f>IF(SUM($C130:Y130)-Y136&gt;X138,SUM($C130:Y130)-Y136,X138)</f>
        <v>585171053.37087536</v>
      </c>
      <c r="Z138" s="10">
        <f>IF(SUM($C130:Z130)-Z136&gt;Y138,SUM($C130:Z130)-Z136,Y138)</f>
        <v>585171053.37087536</v>
      </c>
      <c r="AA138" s="10">
        <f>IF(SUM($C130:AA130)-AA136&gt;Z138,SUM($C130:AA130)-AA136,Z138)</f>
        <v>585171053.37087536</v>
      </c>
      <c r="AB138" s="10">
        <f>IF(SUM($C130:AB130)-AB136&gt;AA138,SUM($C130:AB130)-AB136,AA138)</f>
        <v>585171053.37087536</v>
      </c>
      <c r="AC138" s="10">
        <f>IF(SUM($C130:AC130)-AC136&gt;AB138,SUM($C130:AC130)-AC136,AB138)</f>
        <v>585171053.37087536</v>
      </c>
      <c r="AD138" s="10">
        <f>IF(SUM($C130:AD130)-AD136&gt;AC138,SUM($C130:AD130)-AD136,AC138)</f>
        <v>585171053.37087536</v>
      </c>
      <c r="AE138" s="10">
        <f>IF(SUM($C130:AE130)-AE136&gt;AD138,SUM($C130:AE130)-AE136,AD138)</f>
        <v>585171053.37087536</v>
      </c>
      <c r="AF138" s="10">
        <f>IF(SUM($C130:AF130)-AF136&gt;AE138,SUM($C130:AF130)-AF136,AE138)</f>
        <v>585171053.37087536</v>
      </c>
      <c r="AG138" s="10">
        <f>IF(SUM($C130:AG130)-AG136&gt;AF138,SUM($C130:AG130)-AG136,AF138)</f>
        <v>585171053.37087536</v>
      </c>
      <c r="AH138" s="10">
        <f>IF(SUM($C130:AH130)-AH136&gt;AG138,SUM($C130:AH130)-AH136,AG138)</f>
        <v>585171053.37087536</v>
      </c>
      <c r="AI138" s="10">
        <f>IF(SUM($C130:AI130)-AI136&gt;AH138,SUM($C130:AI130)-AI136,AH138)</f>
        <v>585171053.37087536</v>
      </c>
      <c r="AJ138" s="10">
        <f>IF(SUM($C130:AJ130)-AJ136&gt;AI138,SUM($C130:AJ130)-AJ136,AI138)</f>
        <v>585171053.37087536</v>
      </c>
      <c r="AK138" s="10">
        <f>IF(SUM($C130:AK130)-AK136&gt;AJ138,SUM($C130:AK130)-AK136,AJ138)</f>
        <v>585171053.37087536</v>
      </c>
      <c r="AL138" s="10">
        <f>IF(SUM($C130:AL130)-AL136&gt;AK138,SUM($C130:AL130)-AL136,AK138)</f>
        <v>585171053.37087536</v>
      </c>
      <c r="AM138" s="10">
        <f>IF(SUM($C130:AM130)-AM136&gt;AL138,SUM($C130:AM130)-AM136,AL138)</f>
        <v>585171053.37087536</v>
      </c>
      <c r="AN138" s="10">
        <f>IF(SUM($C130:AN130)-AN136&gt;AM138,SUM($C130:AN130)-AN136,AM138)</f>
        <v>585171053.37087536</v>
      </c>
      <c r="AO138" s="10">
        <f>IF(SUM($C130:AO130)-AO136&gt;AN138,SUM($C130:AO130)-AO136,AN138)</f>
        <v>585171053.37087536</v>
      </c>
      <c r="AP138" s="10">
        <f>IF(SUM($C130:AP130)-AP136&gt;AO138,SUM($C130:AP130)-AP136,AO138)</f>
        <v>585171053.37087536</v>
      </c>
      <c r="AQ138" s="10">
        <f>IF(SUM($C130:AQ130)-AQ136&gt;AP138,SUM($C130:AQ130)-AQ136,AP138)</f>
        <v>585171053.37087536</v>
      </c>
      <c r="AR138" s="10">
        <f>IF(SUM($C130:AR130)-AR136&gt;AQ138,SUM($C130:AR130)-AR136,AQ138)</f>
        <v>585171053.37087536</v>
      </c>
      <c r="AS138" s="10">
        <f>IF(SUM($C130:AS130)-AS136&gt;AR138,SUM($C130:AS130)-AS136,AR138)</f>
        <v>585171053.37087536</v>
      </c>
      <c r="AT138" s="10">
        <f>IF(SUM($C130:AT130)-AT136&gt;AS138,SUM($C130:AT130)-AT136,AS138)</f>
        <v>585171053.37087536</v>
      </c>
      <c r="AU138" s="10">
        <f>IF(SUM($C130:AU130)-AU136&gt;AT138,SUM($C130:AU130)-AU136,AT138)</f>
        <v>585171053.37087536</v>
      </c>
      <c r="AV138" s="10">
        <f>IF(SUM($C130:AV130)-AV136&gt;AU138,SUM($C130:AV130)-AV136,AU138)</f>
        <v>585171053.37087536</v>
      </c>
      <c r="AW138" s="10">
        <f>IF(SUM($C130:AW130)-AW136&gt;AV138,SUM($C130:AW130)-AW136,AV138)</f>
        <v>585171053.37087536</v>
      </c>
      <c r="AX138" s="10">
        <f>IF(SUM($C130:AX130)-AX136&gt;AW138,SUM($C130:AX130)-AX136,AW138)</f>
        <v>585171053.37087536</v>
      </c>
      <c r="AY138" s="10">
        <f>IF(SUM($C130:AY130)-AY136&gt;AX138,SUM($C130:AY130)-AY136,AX138)</f>
        <v>585171053.37087536</v>
      </c>
      <c r="AZ138" s="10">
        <f>IF(SUM($C130:AZ130)-AZ136&gt;AY138,SUM($C130:AZ130)-AZ136,AY138)</f>
        <v>585171053.37087536</v>
      </c>
      <c r="BA138" s="10">
        <f>IF(SUM($C130:BA130)-BA136&gt;AZ138,SUM($C130:BA130)-BA136,AZ138)</f>
        <v>585171053.37087536</v>
      </c>
      <c r="BB138" s="10">
        <f>IF(SUM($C130:BB130)-BB136&gt;BA138,SUM($C130:BB130)-BB136,BA138)</f>
        <v>585171053.37087536</v>
      </c>
      <c r="BC138" s="10">
        <f>IF(SUM($C130:BC130)-BC136&gt;BB138,SUM($C130:BC130)-BC136,BB138)</f>
        <v>585171053.37087536</v>
      </c>
      <c r="BD138" s="10">
        <f>IF(SUM($C130:BD130)-BD136&gt;BC138,SUM($C130:BD130)-BD136,BC138)</f>
        <v>585171053.37087536</v>
      </c>
      <c r="BE138" s="10">
        <f>IF(SUM($C130:BE130)-BE136&gt;BD138,SUM($C130:BE130)-BE136,BD138)</f>
        <v>585171053.37087536</v>
      </c>
      <c r="BF138" s="10">
        <f>IF(SUM($C130:BF130)-BF136&gt;BE138,SUM($C130:BF130)-BF136,BE138)</f>
        <v>585171053.37087536</v>
      </c>
      <c r="BG138" s="10">
        <f>IF(SUM($C130:BG130)-BG136&gt;BF138,SUM($C130:BG130)-BG136,BF138)</f>
        <v>585171053.37087536</v>
      </c>
      <c r="BH138" s="10">
        <f>IF(SUM($C130:BH130)-BH136&gt;BG138,SUM($C130:BH130)-BH136,BG138)</f>
        <v>585171053.37087536</v>
      </c>
      <c r="BI138" s="10"/>
    </row>
    <row r="139" spans="1:61" s="82" customFormat="1" x14ac:dyDescent="0.2">
      <c r="A139" s="82" t="s">
        <v>792</v>
      </c>
      <c r="B139" s="156">
        <v>1.4999999999999999E-2</v>
      </c>
      <c r="C139" s="156">
        <f xml:space="preserve"> 1 + B139</f>
        <v>1.0149999999999999</v>
      </c>
      <c r="D139" s="156">
        <f xml:space="preserve"> (1 + $B139) * C139</f>
        <v>1.0302249999999997</v>
      </c>
      <c r="E139" s="156">
        <f xml:space="preserve"> (1 + $B139) * D139</f>
        <v>1.0456783749999996</v>
      </c>
      <c r="F139" s="156">
        <f xml:space="preserve"> (1 + $B139) * E139</f>
        <v>1.0613635506249994</v>
      </c>
      <c r="G139" s="156">
        <f t="shared" ref="G139:AO139" si="566" xml:space="preserve"> (1 + $B139) * F139</f>
        <v>1.0772840038843743</v>
      </c>
      <c r="H139" s="156">
        <f t="shared" si="566"/>
        <v>1.0934432639426397</v>
      </c>
      <c r="I139" s="156">
        <f t="shared" si="566"/>
        <v>1.1098449129017791</v>
      </c>
      <c r="J139" s="156">
        <f t="shared" si="566"/>
        <v>1.1264925865953057</v>
      </c>
      <c r="K139" s="156">
        <f t="shared" si="566"/>
        <v>1.1433899753942351</v>
      </c>
      <c r="L139" s="156">
        <f t="shared" si="566"/>
        <v>1.1605408250251485</v>
      </c>
      <c r="M139" s="156">
        <f t="shared" si="566"/>
        <v>1.1779489374005256</v>
      </c>
      <c r="N139" s="156">
        <f t="shared" si="566"/>
        <v>1.1956181714615335</v>
      </c>
      <c r="O139" s="156">
        <f t="shared" si="566"/>
        <v>1.2135524440334564</v>
      </c>
      <c r="P139" s="156">
        <f t="shared" si="566"/>
        <v>1.2317557306939582</v>
      </c>
      <c r="Q139" s="156">
        <f t="shared" si="566"/>
        <v>1.2502320666543674</v>
      </c>
      <c r="R139" s="156">
        <f t="shared" si="566"/>
        <v>1.2689855476541827</v>
      </c>
      <c r="S139" s="156">
        <f t="shared" si="566"/>
        <v>1.2880203308689953</v>
      </c>
      <c r="T139" s="156">
        <f t="shared" si="566"/>
        <v>1.3073406358320301</v>
      </c>
      <c r="U139" s="156">
        <f t="shared" si="566"/>
        <v>1.3269507453695104</v>
      </c>
      <c r="V139" s="156">
        <f t="shared" si="566"/>
        <v>1.3468550065500529</v>
      </c>
      <c r="W139" s="156">
        <f t="shared" si="566"/>
        <v>1.3670578316483035</v>
      </c>
      <c r="X139" s="156">
        <f t="shared" si="566"/>
        <v>1.387563699123028</v>
      </c>
      <c r="Y139" s="156">
        <f t="shared" si="566"/>
        <v>1.4083771546098733</v>
      </c>
      <c r="Z139" s="156">
        <f t="shared" si="566"/>
        <v>1.4295028119290214</v>
      </c>
      <c r="AA139" s="156">
        <f t="shared" si="566"/>
        <v>1.4509453541079567</v>
      </c>
      <c r="AB139" s="156">
        <f t="shared" si="566"/>
        <v>1.472709534419576</v>
      </c>
      <c r="AC139" s="156">
        <f t="shared" si="566"/>
        <v>1.4948001774358695</v>
      </c>
      <c r="AD139" s="156">
        <f t="shared" si="566"/>
        <v>1.5172221800974073</v>
      </c>
      <c r="AE139" s="156">
        <f t="shared" si="566"/>
        <v>1.5399805127988682</v>
      </c>
      <c r="AF139" s="156">
        <f t="shared" si="566"/>
        <v>1.5630802204908509</v>
      </c>
      <c r="AG139" s="156">
        <f t="shared" si="566"/>
        <v>1.5865264237982135</v>
      </c>
      <c r="AH139" s="156">
        <f t="shared" si="566"/>
        <v>1.6103243201551867</v>
      </c>
      <c r="AI139" s="156">
        <f t="shared" si="566"/>
        <v>1.6344791849575142</v>
      </c>
      <c r="AJ139" s="156">
        <f t="shared" si="566"/>
        <v>1.6589963727318768</v>
      </c>
      <c r="AK139" s="156">
        <f t="shared" si="566"/>
        <v>1.6838813183228549</v>
      </c>
      <c r="AL139" s="156">
        <f t="shared" si="566"/>
        <v>1.7091395380976975</v>
      </c>
      <c r="AM139" s="156">
        <f t="shared" si="566"/>
        <v>1.7347766311691628</v>
      </c>
      <c r="AN139" s="156">
        <f t="shared" si="566"/>
        <v>1.7607982806367002</v>
      </c>
      <c r="AO139" s="156">
        <f t="shared" si="566"/>
        <v>1.7872102548462505</v>
      </c>
      <c r="AP139" s="156">
        <f t="shared" ref="AP139" si="567" xml:space="preserve"> (1 + $B139) * AO139</f>
        <v>1.8140184086689441</v>
      </c>
      <c r="AQ139" s="156">
        <f t="shared" ref="AQ139" si="568" xml:space="preserve"> (1 + $B139) * AP139</f>
        <v>1.8412286847989781</v>
      </c>
      <c r="AR139" s="156">
        <f t="shared" ref="AR139" si="569" xml:space="preserve"> (1 + $B139) * AQ139</f>
        <v>1.8688471150709625</v>
      </c>
      <c r="AS139" s="156">
        <f t="shared" ref="AS139" si="570" xml:space="preserve"> (1 + $B139) * AR139</f>
        <v>1.8968798217970266</v>
      </c>
      <c r="AT139" s="156">
        <f t="shared" ref="AT139" si="571" xml:space="preserve"> (1 + $B139) * AS139</f>
        <v>1.9253330191239819</v>
      </c>
      <c r="AU139" s="156">
        <f t="shared" ref="AU139" si="572" xml:space="preserve"> (1 + $B139) * AT139</f>
        <v>1.9542130144108414</v>
      </c>
      <c r="AV139" s="156">
        <f t="shared" ref="AV139" si="573" xml:space="preserve"> (1 + $B139) * AU139</f>
        <v>1.9835262096270039</v>
      </c>
      <c r="AW139" s="156">
        <f t="shared" ref="AW139" si="574" xml:space="preserve"> (1 + $B139) * AV139</f>
        <v>2.0132791027714085</v>
      </c>
      <c r="AX139" s="156">
        <f t="shared" ref="AX139" si="575" xml:space="preserve"> (1 + $B139) * AW139</f>
        <v>2.0434782893129793</v>
      </c>
      <c r="AY139" s="156">
        <f t="shared" ref="AY139" si="576" xml:space="preserve"> (1 + $B139) * AX139</f>
        <v>2.0741304636526738</v>
      </c>
      <c r="AZ139" s="156">
        <f t="shared" ref="AZ139" si="577" xml:space="preserve"> (1 + $B139) * AY139</f>
        <v>2.1052424206074636</v>
      </c>
      <c r="BA139" s="156">
        <f t="shared" ref="BA139" si="578" xml:space="preserve"> (1 + $B139) * AZ139</f>
        <v>2.1368210569165753</v>
      </c>
      <c r="BB139" s="156">
        <f t="shared" ref="BB139" si="579" xml:space="preserve"> (1 + $B139) * BA139</f>
        <v>2.1688733727703235</v>
      </c>
      <c r="BC139" s="156">
        <f t="shared" ref="BC139" si="580" xml:space="preserve"> (1 + $B139) * BB139</f>
        <v>2.2014064733618781</v>
      </c>
      <c r="BD139" s="156">
        <f t="shared" ref="BD139" si="581" xml:space="preserve"> (1 + $B139) * BC139</f>
        <v>2.234427570462306</v>
      </c>
      <c r="BE139" s="156">
        <f t="shared" ref="BE139" si="582" xml:space="preserve"> (1 + $B139) * BD139</f>
        <v>2.2679439840192406</v>
      </c>
      <c r="BF139" s="156">
        <f t="shared" ref="BF139" si="583" xml:space="preserve"> (1 + $B139) * BE139</f>
        <v>2.3019631437795289</v>
      </c>
      <c r="BG139" s="156">
        <f t="shared" ref="BG139:BH139" si="584" xml:space="preserve"> (1 + $B139) * BF139</f>
        <v>2.3364925909362215</v>
      </c>
      <c r="BH139" s="156">
        <f t="shared" si="584"/>
        <v>2.3715399798002648</v>
      </c>
      <c r="BI139" s="83"/>
    </row>
    <row r="140" spans="1:61" s="82" customFormat="1" x14ac:dyDescent="0.2">
      <c r="A140" s="82" t="s">
        <v>741</v>
      </c>
      <c r="B140" s="156"/>
      <c r="C140" s="83">
        <f xml:space="preserve"> C134 * C139</f>
        <v>2406727.4</v>
      </c>
      <c r="D140" s="83">
        <f t="shared" ref="D140:AM140" si="585" xml:space="preserve"> D134 * D139</f>
        <v>2442828.3109999993</v>
      </c>
      <c r="E140" s="83">
        <f t="shared" si="585"/>
        <v>2479470.7356649991</v>
      </c>
      <c r="F140" s="83">
        <f t="shared" si="585"/>
        <v>2516662.7966999738</v>
      </c>
      <c r="G140" s="83">
        <f t="shared" si="585"/>
        <v>82003298.104150116</v>
      </c>
      <c r="H140" s="83">
        <f t="shared" si="585"/>
        <v>169472820.71043226</v>
      </c>
      <c r="I140" s="83">
        <f t="shared" si="585"/>
        <v>259455866.57067493</v>
      </c>
      <c r="J140" s="83">
        <f t="shared" si="585"/>
        <v>354554156.49415463</v>
      </c>
      <c r="K140" s="83">
        <f t="shared" si="585"/>
        <v>453407854.09145409</v>
      </c>
      <c r="L140" s="83">
        <f t="shared" si="585"/>
        <v>551636701.37591648</v>
      </c>
      <c r="M140" s="83">
        <f t="shared" si="585"/>
        <v>845054877.07176352</v>
      </c>
      <c r="N140" s="83">
        <f t="shared" si="585"/>
        <v>912895363.72382486</v>
      </c>
      <c r="O140" s="83">
        <f t="shared" si="585"/>
        <v>984143523.3554554</v>
      </c>
      <c r="P140" s="83">
        <f t="shared" si="585"/>
        <v>1010425284.0660906</v>
      </c>
      <c r="Q140" s="83">
        <f t="shared" si="585"/>
        <v>1037355620.9155089</v>
      </c>
      <c r="R140" s="83">
        <f t="shared" si="585"/>
        <v>961614573.4938277</v>
      </c>
      <c r="S140" s="83">
        <f t="shared" si="585"/>
        <v>988315653.65271342</v>
      </c>
      <c r="T140" s="83">
        <f t="shared" si="585"/>
        <v>1015123255.6029725</v>
      </c>
      <c r="U140" s="83">
        <f t="shared" si="585"/>
        <v>1043149514.4001013</v>
      </c>
      <c r="V140" s="83">
        <f t="shared" si="585"/>
        <v>1071876016.7829494</v>
      </c>
      <c r="W140" s="83">
        <f t="shared" si="585"/>
        <v>1101318782.0291734</v>
      </c>
      <c r="X140" s="83">
        <f t="shared" si="585"/>
        <v>1130896169.9764929</v>
      </c>
      <c r="Y140" s="83">
        <f t="shared" si="585"/>
        <v>1161788958.9441154</v>
      </c>
      <c r="Z140" s="83">
        <f t="shared" si="585"/>
        <v>1193447329.8096831</v>
      </c>
      <c r="AA140" s="83">
        <f t="shared" si="585"/>
        <v>1238947206.0875959</v>
      </c>
      <c r="AB140" s="83">
        <f t="shared" si="585"/>
        <v>1272385235.5392592</v>
      </c>
      <c r="AC140" s="83">
        <f t="shared" si="585"/>
        <v>1306000933.8842373</v>
      </c>
      <c r="AD140" s="83">
        <f t="shared" si="585"/>
        <v>1341066927.0211518</v>
      </c>
      <c r="AE140" s="83">
        <f t="shared" si="585"/>
        <v>1376991506.3323069</v>
      </c>
      <c r="AF140" s="83">
        <f t="shared" si="585"/>
        <v>1413794046.4033282</v>
      </c>
      <c r="AG140" s="83">
        <f t="shared" si="585"/>
        <v>1451494332.4782536</v>
      </c>
      <c r="AH140" s="83">
        <f t="shared" si="585"/>
        <v>1490112568.7590439</v>
      </c>
      <c r="AI140" s="83">
        <f t="shared" si="585"/>
        <v>1529669386.8667696</v>
      </c>
      <c r="AJ140" s="83">
        <f t="shared" si="585"/>
        <v>1570900836.802243</v>
      </c>
      <c r="AK140" s="83">
        <f t="shared" si="585"/>
        <v>1612436652.0314167</v>
      </c>
      <c r="AL140" s="83">
        <f t="shared" si="585"/>
        <v>1654976580.2648497</v>
      </c>
      <c r="AM140" s="83">
        <f t="shared" si="585"/>
        <v>1698543071.7027783</v>
      </c>
      <c r="AN140" s="83">
        <f t="shared" ref="AN140:AP140" si="586" xml:space="preserve"> AN134 * AN139</f>
        <v>1743159049.2115474</v>
      </c>
      <c r="AO140" s="83">
        <f t="shared" si="586"/>
        <v>1789618156.8608339</v>
      </c>
      <c r="AP140" s="83">
        <f t="shared" si="586"/>
        <v>1836444950.2529776</v>
      </c>
      <c r="AQ140" s="83">
        <f t="shared" ref="AQ140:AS140" si="587" xml:space="preserve"> AQ134 * AQ139</f>
        <v>1884393991.0863469</v>
      </c>
      <c r="AR140" s="83">
        <f t="shared" si="587"/>
        <v>1934295634.6711414</v>
      </c>
      <c r="AS140" s="83">
        <f t="shared" si="587"/>
        <v>1984607507.7573054</v>
      </c>
      <c r="AT140" s="83">
        <f t="shared" ref="AT140:AY140" si="588" xml:space="preserve"> AT134 * AT139</f>
        <v>2036119114.5686998</v>
      </c>
      <c r="AU140" s="83">
        <f t="shared" si="588"/>
        <v>2089699223.5378342</v>
      </c>
      <c r="AV140" s="83">
        <f t="shared" si="588"/>
        <v>2143735500.7668791</v>
      </c>
      <c r="AW140" s="83">
        <f t="shared" si="588"/>
        <v>2199921683.5298166</v>
      </c>
      <c r="AX140" s="83">
        <f t="shared" si="588"/>
        <v>2257477737.4721193</v>
      </c>
      <c r="AY140" s="83">
        <f t="shared" si="588"/>
        <v>2315540722.3888526</v>
      </c>
      <c r="AZ140" s="83">
        <f t="shared" ref="AZ140:BE140" si="589" xml:space="preserve"> AZ134 * AZ139</f>
        <v>2375882296.5801935</v>
      </c>
      <c r="BA140" s="83">
        <f t="shared" si="589"/>
        <v>2436766446.9488821</v>
      </c>
      <c r="BB140" s="83">
        <f t="shared" si="589"/>
        <v>2500018754.5387282</v>
      </c>
      <c r="BC140" s="83">
        <f t="shared" si="589"/>
        <v>2564799862.6285172</v>
      </c>
      <c r="BD140" s="83">
        <f t="shared" si="589"/>
        <v>2631144096.0198836</v>
      </c>
      <c r="BE140" s="83">
        <f t="shared" si="589"/>
        <v>2698109083.4665689</v>
      </c>
      <c r="BF140" s="83">
        <f t="shared" ref="BF140:BG140" si="590" xml:space="preserve"> BF134 * BF139</f>
        <v>2767633259.1771584</v>
      </c>
      <c r="BG140" s="83">
        <f t="shared" si="590"/>
        <v>2838826604.3238802</v>
      </c>
      <c r="BH140" s="83">
        <f t="shared" ref="BH140" si="591" xml:space="preserve"> BH134 * BH139</f>
        <v>2911726408.8309121</v>
      </c>
      <c r="BI140" s="83"/>
    </row>
    <row r="141" spans="1:61" x14ac:dyDescent="0.2">
      <c r="B141" s="3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</row>
    <row r="142" spans="1:61" x14ac:dyDescent="0.2">
      <c r="A142" t="s">
        <v>746</v>
      </c>
      <c r="B142" s="31"/>
      <c r="C142" s="10">
        <f ca="1">IF(C140&gt;C129,C132+C140,C132-IF(COLUMN()&lt;C146-1,0,OFFSET(C142,-2,-C146)))</f>
        <v>2406727.4</v>
      </c>
      <c r="D142" s="10">
        <f ca="1">IF(D140&gt;D129,C142+D132+D140,C142+D132)</f>
        <v>4849555.7109999992</v>
      </c>
      <c r="E142" s="10">
        <f ca="1">IF(E140&gt;E129,D142+E132+E140,D142+E132)</f>
        <v>60822178.733567022</v>
      </c>
      <c r="F142" s="10">
        <f ca="1">IF(F140&gt;F129,E142+F132+F140,E142+F132)</f>
        <v>330590290.94675159</v>
      </c>
      <c r="G142" s="10">
        <f t="shared" ref="G142:AO142" ca="1" si="592">IF(G140&gt;G129,F142+G132+G140,F142+G132)</f>
        <v>644453225.86590958</v>
      </c>
      <c r="H142" s="10">
        <f t="shared" ca="1" si="592"/>
        <v>1006275796.2201827</v>
      </c>
      <c r="I142" s="10">
        <f t="shared" ca="1" si="592"/>
        <v>1415302631.4709172</v>
      </c>
      <c r="J142" s="10">
        <f t="shared" ca="1" si="592"/>
        <v>1872868449.4866776</v>
      </c>
      <c r="K142" s="10">
        <f t="shared" ca="1" si="592"/>
        <v>2380969627.0769658</v>
      </c>
      <c r="L142" s="10">
        <f t="shared" ca="1" si="592"/>
        <v>2945145305.1619525</v>
      </c>
      <c r="M142" s="10">
        <f t="shared" ca="1" si="592"/>
        <v>3540884186.5439658</v>
      </c>
      <c r="N142" s="10">
        <f t="shared" ca="1" si="592"/>
        <v>4139515111.319912</v>
      </c>
      <c r="O142" s="10">
        <f t="shared" ca="1" si="592"/>
        <v>4551591210.4537048</v>
      </c>
      <c r="P142" s="10">
        <f t="shared" ca="1" si="592"/>
        <v>4973915678.6337309</v>
      </c>
      <c r="Q142" s="10">
        <f t="shared" ca="1" si="592"/>
        <v>5403279038.2514029</v>
      </c>
      <c r="R142" s="10">
        <f t="shared" ca="1" si="592"/>
        <v>5845701042.6285276</v>
      </c>
      <c r="S142" s="10">
        <f t="shared" ca="1" si="592"/>
        <v>6295484680.6241961</v>
      </c>
      <c r="T142" s="10">
        <f t="shared" ca="1" si="592"/>
        <v>6758833302.4796753</v>
      </c>
      <c r="U142" s="10">
        <f t="shared" ca="1" si="592"/>
        <v>7233513712.8526993</v>
      </c>
      <c r="V142" s="10">
        <f t="shared" ca="1" si="592"/>
        <v>7719761611.9588766</v>
      </c>
      <c r="W142" s="10">
        <f t="shared" ca="1" si="592"/>
        <v>8214073040.3058195</v>
      </c>
      <c r="X142" s="10">
        <f t="shared" ca="1" si="592"/>
        <v>8723035760.1260452</v>
      </c>
      <c r="Y142" s="10">
        <f t="shared" ca="1" si="592"/>
        <v>9244283347.9624405</v>
      </c>
      <c r="Z142" s="10">
        <f t="shared" ca="1" si="592"/>
        <v>9778069833.2435303</v>
      </c>
      <c r="AA142" s="10">
        <f t="shared" ca="1" si="592"/>
        <v>10324654102.185394</v>
      </c>
      <c r="AB142" s="10">
        <f t="shared" ca="1" si="592"/>
        <v>10880266439.972874</v>
      </c>
      <c r="AC142" s="10">
        <f t="shared" ca="1" si="592"/>
        <v>11452008857.847149</v>
      </c>
      <c r="AD142" s="10">
        <f t="shared" ca="1" si="592"/>
        <v>12037337242.843653</v>
      </c>
      <c r="AE142" s="10">
        <f t="shared" ca="1" si="592"/>
        <v>12636530531.93203</v>
      </c>
      <c r="AF142" s="10">
        <f t="shared" ca="1" si="592"/>
        <v>13249872973.348412</v>
      </c>
      <c r="AG142" s="10">
        <f t="shared" ca="1" si="592"/>
        <v>13877654223.172594</v>
      </c>
      <c r="AH142" s="10">
        <f t="shared" ca="1" si="592"/>
        <v>14520169443.607491</v>
      </c>
      <c r="AI142" s="10">
        <f t="shared" ca="1" si="592"/>
        <v>15182196013.905243</v>
      </c>
      <c r="AJ142" s="10">
        <f t="shared" ca="1" si="592"/>
        <v>15856456679.929861</v>
      </c>
      <c r="AK142" s="10">
        <f t="shared" ca="1" si="592"/>
        <v>16546391391.232784</v>
      </c>
      <c r="AL142" s="10">
        <f t="shared" ca="1" si="592"/>
        <v>17252318660.522507</v>
      </c>
      <c r="AM142" s="10">
        <f t="shared" ca="1" si="592"/>
        <v>17932296017.483967</v>
      </c>
      <c r="AN142" s="10">
        <f t="shared" ca="1" si="592"/>
        <v>18627396178.538204</v>
      </c>
      <c r="AO142" s="10">
        <f t="shared" ca="1" si="592"/>
        <v>19339169080.626293</v>
      </c>
      <c r="AP142" s="10">
        <f t="shared" ref="AP142" ca="1" si="593">IF(AP140&gt;AP129,AO142+AP132+AP140,AO142+AP132)</f>
        <v>20066690522.003555</v>
      </c>
      <c r="AQ142" s="10">
        <f t="shared" ref="AQ142" ca="1" si="594">IF(AQ140&gt;AQ129,AP142+AQ132+AQ140,AP142+AQ132)</f>
        <v>20810272809.94569</v>
      </c>
      <c r="AR142" s="10">
        <f t="shared" ref="AR142" ca="1" si="595">IF(AR140&gt;AR129,AQ142+AR132+AR140,AQ142+AR132)</f>
        <v>21571540388.854931</v>
      </c>
      <c r="AS142" s="10">
        <f t="shared" ref="AS142" ca="1" si="596">IF(AS140&gt;AS129,AR142+AS132+AS140,AR142+AS132)</f>
        <v>22349530605.445965</v>
      </c>
      <c r="AT142" s="10">
        <f t="shared" ref="AT142" ca="1" si="597">IF(AT140&gt;AT129,AS142+AT132+AT140,AS142+AT132)</f>
        <v>23144573853.643993</v>
      </c>
      <c r="AU142" s="10">
        <f t="shared" ref="AU142" ca="1" si="598">IF(AU140&gt;AU129,AT142+AU132+AU140,AT142+AU132)</f>
        <v>23958372658.106865</v>
      </c>
      <c r="AV142" s="10">
        <f t="shared" ref="AV142" ca="1" si="599">IF(AV140&gt;AV129,AU142+AV132+AV140,AU142+AV132)</f>
        <v>24789924329.56068</v>
      </c>
      <c r="AW142" s="10">
        <f t="shared" ref="AW142" ca="1" si="600">IF(AW140&gt;AW129,AV142+AW132+AW140,AV142+AW132)</f>
        <v>25640985617.58363</v>
      </c>
      <c r="AX142" s="10">
        <f t="shared" ref="AX142" ca="1" si="601">IF(AX140&gt;AX129,AW142+AX132+AX140,AW142+AX132)</f>
        <v>26511954711.546711</v>
      </c>
      <c r="AY142" s="10">
        <f t="shared" ref="AY142" ca="1" si="602">IF(AY140&gt;AY129,AX142+AY132+AY140,AX142+AY132)</f>
        <v>27401787553.854504</v>
      </c>
      <c r="AZ142" s="10">
        <f t="shared" ref="AZ142" ca="1" si="603">IF(AZ140&gt;AZ129,AY142+AZ132+AZ140,AY142+AZ132)</f>
        <v>28312325638.939785</v>
      </c>
      <c r="BA142" s="10">
        <f t="shared" ref="BA142" ca="1" si="604">IF(BA140&gt;BA129,AZ142+BA132+BA140,AZ142+BA132)</f>
        <v>29242496288.417355</v>
      </c>
      <c r="BB142" s="10">
        <f t="shared" ref="BB142" ca="1" si="605">IF(BB140&gt;BB129,BA142+BB132+BB140,BA142+BB132)</f>
        <v>30194199635.778027</v>
      </c>
      <c r="BC142" s="10">
        <f t="shared" ref="BC142" ca="1" si="606">IF(BC140&gt;BC129,BB142+BC132+BC140,BB142+BC132)</f>
        <v>31167872373.56216</v>
      </c>
      <c r="BD142" s="10">
        <f t="shared" ref="BD142" ca="1" si="607">IF(BD140&gt;BD129,BC142+BD132+BD140,BC142+BD132)</f>
        <v>32163959450.229305</v>
      </c>
      <c r="BE142" s="10">
        <f t="shared" ref="BE142" ca="1" si="608">IF(BE140&gt;BE129,BD142+BE132+BE140,BD142+BE132)</f>
        <v>33181328942.273251</v>
      </c>
      <c r="BF142" s="10">
        <f t="shared" ref="BF142" ca="1" si="609">IF(BF140&gt;BF129,BE142+BF132+BF140,BE142+BF132)</f>
        <v>34222004259.029346</v>
      </c>
      <c r="BG142" s="10">
        <f t="shared" ref="BG142:BH142" ca="1" si="610">IF(BG140&gt;BG129,BF142+BG132+BG140,BF142+BG132)</f>
        <v>35286455667.103249</v>
      </c>
      <c r="BH142" s="10">
        <f t="shared" ca="1" si="610"/>
        <v>36375162297.288223</v>
      </c>
      <c r="BI142" s="10"/>
    </row>
    <row r="143" spans="1:61" x14ac:dyDescent="0.2">
      <c r="A143" t="s">
        <v>743</v>
      </c>
      <c r="B143" s="31">
        <v>0.12</v>
      </c>
      <c r="C143" s="10">
        <f xml:space="preserve"> IF(C129&lt;(C132+C140), (1+$B143)*(C132+C140-C129), 0)</f>
        <v>2695534.6880000001</v>
      </c>
      <c r="D143" s="10">
        <f xml:space="preserve"> IF(D129&lt;(D132+D140), (1+$B143)*(D132+D140-D129), 0)</f>
        <v>2735967.7083199993</v>
      </c>
      <c r="E143" s="10">
        <f xml:space="preserve"> IF(E129&lt;(E132+E140), (1+$B143)*(E132+E140-E129), 0)</f>
        <v>62689337.785275064</v>
      </c>
      <c r="F143" s="10">
        <f t="shared" ref="F143:AM143" si="611" xml:space="preserve"> IF(F129&lt;(F132+F140), (1+$B143)*(F132+F140-F129), 0)</f>
        <v>302140285.67876673</v>
      </c>
      <c r="G143" s="10">
        <f t="shared" si="611"/>
        <v>233789489.54001322</v>
      </c>
      <c r="H143" s="10">
        <f t="shared" si="611"/>
        <v>154326972.74810243</v>
      </c>
      <c r="I143" s="10">
        <f t="shared" si="611"/>
        <v>62282495.705212921</v>
      </c>
      <c r="J143" s="10">
        <f t="shared" si="611"/>
        <v>0</v>
      </c>
      <c r="K143" s="10">
        <f t="shared" si="611"/>
        <v>0</v>
      </c>
      <c r="L143" s="10">
        <f t="shared" si="611"/>
        <v>0</v>
      </c>
      <c r="M143" s="10">
        <f t="shared" si="611"/>
        <v>0</v>
      </c>
      <c r="N143" s="10">
        <f t="shared" si="611"/>
        <v>0</v>
      </c>
      <c r="O143" s="10">
        <f t="shared" si="611"/>
        <v>0</v>
      </c>
      <c r="P143" s="10">
        <f t="shared" si="611"/>
        <v>0</v>
      </c>
      <c r="Q143" s="10">
        <f t="shared" si="611"/>
        <v>0</v>
      </c>
      <c r="R143" s="10">
        <f t="shared" si="611"/>
        <v>0</v>
      </c>
      <c r="S143" s="10">
        <f t="shared" si="611"/>
        <v>0</v>
      </c>
      <c r="T143" s="10">
        <f t="shared" si="611"/>
        <v>0</v>
      </c>
      <c r="U143" s="10">
        <f t="shared" si="611"/>
        <v>0</v>
      </c>
      <c r="V143" s="10">
        <f t="shared" si="611"/>
        <v>0</v>
      </c>
      <c r="W143" s="10">
        <f t="shared" si="611"/>
        <v>0</v>
      </c>
      <c r="X143" s="10">
        <f t="shared" si="611"/>
        <v>0</v>
      </c>
      <c r="Y143" s="10">
        <f t="shared" si="611"/>
        <v>0</v>
      </c>
      <c r="Z143" s="10">
        <f t="shared" si="611"/>
        <v>0</v>
      </c>
      <c r="AA143" s="10">
        <f t="shared" si="611"/>
        <v>0</v>
      </c>
      <c r="AB143" s="10">
        <f t="shared" si="611"/>
        <v>0</v>
      </c>
      <c r="AC143" s="10">
        <f t="shared" si="611"/>
        <v>0</v>
      </c>
      <c r="AD143" s="10">
        <f t="shared" si="611"/>
        <v>0</v>
      </c>
      <c r="AE143" s="10">
        <f t="shared" si="611"/>
        <v>0</v>
      </c>
      <c r="AF143" s="10">
        <f t="shared" si="611"/>
        <v>0</v>
      </c>
      <c r="AG143" s="10">
        <f t="shared" si="611"/>
        <v>0</v>
      </c>
      <c r="AH143" s="10">
        <f t="shared" si="611"/>
        <v>0</v>
      </c>
      <c r="AI143" s="10">
        <f t="shared" si="611"/>
        <v>0</v>
      </c>
      <c r="AJ143" s="10">
        <f t="shared" si="611"/>
        <v>0</v>
      </c>
      <c r="AK143" s="10">
        <f t="shared" si="611"/>
        <v>0</v>
      </c>
      <c r="AL143" s="10">
        <f t="shared" si="611"/>
        <v>0</v>
      </c>
      <c r="AM143" s="10">
        <f t="shared" si="611"/>
        <v>0</v>
      </c>
      <c r="AN143" s="10">
        <f t="shared" ref="AN143:AP143" si="612" xml:space="preserve"> IF(AN129&lt;(AN132+AN140), (1+$B143)*(AN132+AN140-AN129), 0)</f>
        <v>0</v>
      </c>
      <c r="AO143" s="10">
        <f t="shared" si="612"/>
        <v>0</v>
      </c>
      <c r="AP143" s="10">
        <f t="shared" si="612"/>
        <v>0</v>
      </c>
      <c r="AQ143" s="10">
        <f t="shared" ref="AQ143:AS143" si="613" xml:space="preserve"> IF(AQ129&lt;(AQ132+AQ140), (1+$B143)*(AQ132+AQ140-AQ129), 0)</f>
        <v>0</v>
      </c>
      <c r="AR143" s="10">
        <f t="shared" si="613"/>
        <v>0</v>
      </c>
      <c r="AS143" s="10">
        <f t="shared" si="613"/>
        <v>0</v>
      </c>
      <c r="AT143" s="10">
        <f t="shared" ref="AT143:AY143" si="614" xml:space="preserve"> IF(AT129&lt;(AT132+AT140), (1+$B143)*(AT132+AT140-AT129), 0)</f>
        <v>0</v>
      </c>
      <c r="AU143" s="10">
        <f t="shared" si="614"/>
        <v>0</v>
      </c>
      <c r="AV143" s="10">
        <f t="shared" si="614"/>
        <v>0</v>
      </c>
      <c r="AW143" s="10">
        <f t="shared" si="614"/>
        <v>0</v>
      </c>
      <c r="AX143" s="10">
        <f t="shared" si="614"/>
        <v>0</v>
      </c>
      <c r="AY143" s="10">
        <f t="shared" si="614"/>
        <v>0</v>
      </c>
      <c r="AZ143" s="10">
        <f t="shared" ref="AZ143:BE143" si="615" xml:space="preserve"> IF(AZ129&lt;(AZ132+AZ140), (1+$B143)*(AZ132+AZ140-AZ129), 0)</f>
        <v>0</v>
      </c>
      <c r="BA143" s="10">
        <f t="shared" si="615"/>
        <v>0</v>
      </c>
      <c r="BB143" s="10">
        <f t="shared" si="615"/>
        <v>0</v>
      </c>
      <c r="BC143" s="10">
        <f t="shared" si="615"/>
        <v>0</v>
      </c>
      <c r="BD143" s="10">
        <f t="shared" si="615"/>
        <v>0</v>
      </c>
      <c r="BE143" s="10">
        <f t="shared" si="615"/>
        <v>0</v>
      </c>
      <c r="BF143" s="10">
        <f t="shared" ref="BF143:BG143" si="616" xml:space="preserve"> IF(BF129&lt;(BF132+BF140), (1+$B143)*(BF132+BF140-BF129), 0)</f>
        <v>0</v>
      </c>
      <c r="BG143" s="10">
        <f t="shared" si="616"/>
        <v>0</v>
      </c>
      <c r="BH143" s="10">
        <f t="shared" ref="BH143" si="617" xml:space="preserve"> IF(BH129&lt;(BH132+BH140), (1+$B143)*(BH132+BH140-BH129), 0)</f>
        <v>0</v>
      </c>
      <c r="BI143" s="10"/>
    </row>
    <row r="144" spans="1:61" x14ac:dyDescent="0.2">
      <c r="A144" t="s">
        <v>744</v>
      </c>
      <c r="B144" s="31"/>
      <c r="C144" s="10">
        <f xml:space="preserve"> C143</f>
        <v>2695534.6880000001</v>
      </c>
      <c r="D144" s="10">
        <f xml:space="preserve"> C144 + D143 -C147</f>
        <v>5098783.0840568244</v>
      </c>
      <c r="E144" s="10">
        <f t="shared" ref="E144:AO144" si="618" xml:space="preserve"> D144 + E143 -D147</f>
        <v>67158760.168221712</v>
      </c>
      <c r="F144" s="10">
        <f t="shared" si="618"/>
        <v>361009404.24263662</v>
      </c>
      <c r="G144" s="10">
        <f t="shared" si="618"/>
        <v>550238235.28514421</v>
      </c>
      <c r="H144" s="10">
        <f t="shared" si="618"/>
        <v>636647370.41832352</v>
      </c>
      <c r="I144" s="10">
        <f t="shared" si="618"/>
        <v>620346245.52212226</v>
      </c>
      <c r="J144" s="10">
        <f t="shared" si="618"/>
        <v>543774730.01018262</v>
      </c>
      <c r="K144" s="10">
        <f t="shared" si="618"/>
        <v>476654705.54879397</v>
      </c>
      <c r="L144" s="10">
        <f t="shared" si="618"/>
        <v>417819541.40743721</v>
      </c>
      <c r="M144" s="10">
        <f t="shared" si="618"/>
        <v>366246608.18343794</v>
      </c>
      <c r="N144" s="10">
        <f t="shared" si="618"/>
        <v>321039503.21239108</v>
      </c>
      <c r="O144" s="10">
        <f t="shared" si="618"/>
        <v>281412469.9585945</v>
      </c>
      <c r="P144" s="10">
        <f t="shared" si="618"/>
        <v>246676740.57483485</v>
      </c>
      <c r="Q144" s="10">
        <f t="shared" si="618"/>
        <v>216228564.24797887</v>
      </c>
      <c r="R144" s="10">
        <f t="shared" si="618"/>
        <v>189538713.24790844</v>
      </c>
      <c r="S144" s="10">
        <f t="shared" si="618"/>
        <v>166143284.28168648</v>
      </c>
      <c r="T144" s="10">
        <f t="shared" si="618"/>
        <v>145635635.26888034</v>
      </c>
      <c r="U144" s="10">
        <f t="shared" si="618"/>
        <v>127659317.38902211</v>
      </c>
      <c r="V144" s="10">
        <f t="shared" si="618"/>
        <v>111901879.55127101</v>
      </c>
      <c r="W144" s="10">
        <f t="shared" si="618"/>
        <v>98089437.600141659</v>
      </c>
      <c r="X144" s="10">
        <f t="shared" si="618"/>
        <v>85981913.863240391</v>
      </c>
      <c r="Y144" s="10">
        <f t="shared" si="618"/>
        <v>75368864.298341259</v>
      </c>
      <c r="Z144" s="10">
        <f t="shared" si="618"/>
        <v>66065820.71035213</v>
      </c>
      <c r="AA144" s="10">
        <f t="shared" si="618"/>
        <v>57911084.461285323</v>
      </c>
      <c r="AB144" s="10">
        <f t="shared" si="618"/>
        <v>50762915.943865933</v>
      </c>
      <c r="AC144" s="10">
        <f t="shared" si="618"/>
        <v>44497070.968282208</v>
      </c>
      <c r="AD144" s="10">
        <f t="shared" si="618"/>
        <v>39004641.241370618</v>
      </c>
      <c r="AE144" s="10">
        <f t="shared" si="618"/>
        <v>34190161.403038554</v>
      </c>
      <c r="AF144" s="10">
        <f t="shared" si="618"/>
        <v>29969949.717828758</v>
      </c>
      <c r="AG144" s="10">
        <f t="shared" si="618"/>
        <v>26270653.580750842</v>
      </c>
      <c r="AH144" s="10">
        <f t="shared" si="618"/>
        <v>23027974.556435671</v>
      </c>
      <c r="AI144" s="10">
        <f t="shared" si="618"/>
        <v>20185550.791184101</v>
      </c>
      <c r="AJ144" s="10">
        <f t="shared" si="618"/>
        <v>17693977.372821115</v>
      </c>
      <c r="AK144" s="10">
        <f t="shared" si="618"/>
        <v>15509947.610973278</v>
      </c>
      <c r="AL144" s="10">
        <f t="shared" si="618"/>
        <v>13595500.312137069</v>
      </c>
      <c r="AM144" s="10">
        <f t="shared" si="618"/>
        <v>11917359.966228811</v>
      </c>
      <c r="AN144" s="10">
        <f t="shared" si="618"/>
        <v>10446358.376225771</v>
      </c>
      <c r="AO144" s="10">
        <f t="shared" si="618"/>
        <v>9156927.6780916806</v>
      </c>
      <c r="AP144" s="10">
        <f t="shared" ref="AP144" si="619" xml:space="preserve"> AO144 + AP143 -AO147</f>
        <v>8026655.9390331712</v>
      </c>
      <c r="AQ144" s="10">
        <f t="shared" ref="AQ144" si="620" xml:space="preserve"> AP144 + AQ143 -AP147</f>
        <v>7035897.609823999</v>
      </c>
      <c r="AR144" s="10">
        <f t="shared" ref="AR144" si="621" xml:space="preserve"> AQ144 + AR143 -AQ147</f>
        <v>6167432.0603668373</v>
      </c>
      <c r="AS144" s="10">
        <f t="shared" ref="AS144" si="622" xml:space="preserve"> AR144 + AS143 -AR147</f>
        <v>5406164.263409772</v>
      </c>
      <c r="AT144" s="10">
        <f t="shared" ref="AT144" si="623" xml:space="preserve"> AS144 + AT143 -AS147</f>
        <v>4738862.4239227585</v>
      </c>
      <c r="AU144" s="10">
        <f t="shared" ref="AU144" si="624" xml:space="preserve"> AT144 + AU143 -AT147</f>
        <v>4153927.9938014932</v>
      </c>
      <c r="AV144" s="10">
        <f t="shared" ref="AV144" si="625" xml:space="preserve"> AU144 + AV143 -AU147</f>
        <v>3641194.0744640087</v>
      </c>
      <c r="AW144" s="10">
        <f t="shared" ref="AW144" si="626" xml:space="preserve"> AV144 + AW143 -AV147</f>
        <v>3191748.7033227067</v>
      </c>
      <c r="AX144" s="10">
        <f t="shared" ref="AX144" si="627" xml:space="preserve"> AW144 + AX143 -AW147</f>
        <v>2797779.9526277012</v>
      </c>
      <c r="AY144" s="10">
        <f t="shared" ref="AY144" si="628" xml:space="preserve"> AX144 + AY143 -AX147</f>
        <v>2452440.1483038818</v>
      </c>
      <c r="AZ144" s="10">
        <f t="shared" ref="AZ144" si="629" xml:space="preserve"> AY144 + AZ143 -AY147</f>
        <v>2149726.8487337348</v>
      </c>
      <c r="BA144" s="10">
        <f t="shared" ref="BA144" si="630" xml:space="preserve"> AZ144 + BA143 -AZ147</f>
        <v>1884378.5147469563</v>
      </c>
      <c r="BB144" s="10">
        <f t="shared" ref="BB144" si="631" xml:space="preserve"> BA144 + BB143 -BA147</f>
        <v>1651783.0574296173</v>
      </c>
      <c r="BC144" s="10">
        <f t="shared" ref="BC144" si="632" xml:space="preserve"> BB144 + BC143 -BB147</f>
        <v>1447897.67419839</v>
      </c>
      <c r="BD144" s="10">
        <f t="shared" ref="BD144" si="633" xml:space="preserve"> BC144 + BD143 -BC147</f>
        <v>1269178.5797896376</v>
      </c>
      <c r="BE144" s="10">
        <f t="shared" ref="BE144" si="634" xml:space="preserve"> BD144 + BE143 -BD147</f>
        <v>1112519.4107992805</v>
      </c>
      <c r="BF144" s="10">
        <f t="shared" ref="BF144" si="635" xml:space="preserve"> BE144 + BF143 -BE147</f>
        <v>975197.23316660686</v>
      </c>
      <c r="BG144" s="10">
        <f t="shared" ref="BG144:BH144" si="636" xml:space="preserve"> BF144 + BG143 -BF147</f>
        <v>854825.21414395841</v>
      </c>
      <c r="BH144" s="10">
        <f t="shared" si="636"/>
        <v>749311.13613139628</v>
      </c>
      <c r="BI144" s="10"/>
    </row>
    <row r="145" spans="1:61" x14ac:dyDescent="0.2">
      <c r="A145" t="s">
        <v>816</v>
      </c>
      <c r="B145" s="31"/>
      <c r="C145" s="109">
        <v>0.12</v>
      </c>
      <c r="D145" s="9">
        <f xml:space="preserve"> $C145</f>
        <v>0.12</v>
      </c>
      <c r="E145" s="9">
        <f t="shared" ref="E145:AP146" si="637" xml:space="preserve"> $C145</f>
        <v>0.12</v>
      </c>
      <c r="F145" s="9">
        <f t="shared" si="637"/>
        <v>0.12</v>
      </c>
      <c r="G145" s="9">
        <f t="shared" si="637"/>
        <v>0.12</v>
      </c>
      <c r="H145" s="9">
        <f t="shared" si="637"/>
        <v>0.12</v>
      </c>
      <c r="I145" s="9">
        <f t="shared" si="637"/>
        <v>0.12</v>
      </c>
      <c r="J145" s="9">
        <f t="shared" si="637"/>
        <v>0.12</v>
      </c>
      <c r="K145" s="9">
        <f t="shared" si="637"/>
        <v>0.12</v>
      </c>
      <c r="L145" s="9">
        <f t="shared" si="637"/>
        <v>0.12</v>
      </c>
      <c r="M145" s="9">
        <f t="shared" si="637"/>
        <v>0.12</v>
      </c>
      <c r="N145" s="9">
        <f t="shared" si="637"/>
        <v>0.12</v>
      </c>
      <c r="O145" s="9">
        <f t="shared" si="637"/>
        <v>0.12</v>
      </c>
      <c r="P145" s="9">
        <f t="shared" si="637"/>
        <v>0.12</v>
      </c>
      <c r="Q145" s="9">
        <f t="shared" si="637"/>
        <v>0.12</v>
      </c>
      <c r="R145" s="9">
        <f t="shared" si="637"/>
        <v>0.12</v>
      </c>
      <c r="S145" s="9">
        <f t="shared" si="637"/>
        <v>0.12</v>
      </c>
      <c r="T145" s="9">
        <f t="shared" si="637"/>
        <v>0.12</v>
      </c>
      <c r="U145" s="9">
        <f t="shared" si="637"/>
        <v>0.12</v>
      </c>
      <c r="V145" s="9">
        <f t="shared" si="637"/>
        <v>0.12</v>
      </c>
      <c r="W145" s="9">
        <f t="shared" si="637"/>
        <v>0.12</v>
      </c>
      <c r="X145" s="9">
        <f t="shared" si="637"/>
        <v>0.12</v>
      </c>
      <c r="Y145" s="9">
        <f t="shared" si="637"/>
        <v>0.12</v>
      </c>
      <c r="Z145" s="9">
        <f t="shared" si="637"/>
        <v>0.12</v>
      </c>
      <c r="AA145" s="9">
        <f t="shared" si="637"/>
        <v>0.12</v>
      </c>
      <c r="AB145" s="9">
        <f t="shared" si="637"/>
        <v>0.12</v>
      </c>
      <c r="AC145" s="9">
        <f t="shared" si="637"/>
        <v>0.12</v>
      </c>
      <c r="AD145" s="9">
        <f t="shared" si="637"/>
        <v>0.12</v>
      </c>
      <c r="AE145" s="9">
        <f t="shared" si="637"/>
        <v>0.12</v>
      </c>
      <c r="AF145" s="9">
        <f t="shared" si="637"/>
        <v>0.12</v>
      </c>
      <c r="AG145" s="9">
        <f t="shared" si="637"/>
        <v>0.12</v>
      </c>
      <c r="AH145" s="9">
        <f t="shared" si="637"/>
        <v>0.12</v>
      </c>
      <c r="AI145" s="9">
        <f t="shared" si="637"/>
        <v>0.12</v>
      </c>
      <c r="AJ145" s="9">
        <f t="shared" si="637"/>
        <v>0.12</v>
      </c>
      <c r="AK145" s="9">
        <f t="shared" si="637"/>
        <v>0.12</v>
      </c>
      <c r="AL145" s="9">
        <f t="shared" si="637"/>
        <v>0.12</v>
      </c>
      <c r="AM145" s="9">
        <f t="shared" si="637"/>
        <v>0.12</v>
      </c>
      <c r="AN145" s="9">
        <f t="shared" si="637"/>
        <v>0.12</v>
      </c>
      <c r="AO145" s="9">
        <f t="shared" si="637"/>
        <v>0.12</v>
      </c>
      <c r="AP145" s="9">
        <f t="shared" si="637"/>
        <v>0.12</v>
      </c>
      <c r="AQ145" s="9">
        <f t="shared" ref="AP145:BH146" si="638" xml:space="preserve"> $C145</f>
        <v>0.12</v>
      </c>
      <c r="AR145" s="9">
        <f t="shared" si="638"/>
        <v>0.12</v>
      </c>
      <c r="AS145" s="9">
        <f t="shared" si="638"/>
        <v>0.12</v>
      </c>
      <c r="AT145" s="9">
        <f t="shared" si="638"/>
        <v>0.12</v>
      </c>
      <c r="AU145" s="9">
        <f t="shared" si="638"/>
        <v>0.12</v>
      </c>
      <c r="AV145" s="9">
        <f t="shared" si="638"/>
        <v>0.12</v>
      </c>
      <c r="AW145" s="9">
        <f t="shared" si="638"/>
        <v>0.12</v>
      </c>
      <c r="AX145" s="9">
        <f t="shared" si="638"/>
        <v>0.12</v>
      </c>
      <c r="AY145" s="9">
        <f t="shared" si="638"/>
        <v>0.12</v>
      </c>
      <c r="AZ145" s="9">
        <f t="shared" si="638"/>
        <v>0.12</v>
      </c>
      <c r="BA145" s="9">
        <f t="shared" si="638"/>
        <v>0.12</v>
      </c>
      <c r="BB145" s="9">
        <f t="shared" si="638"/>
        <v>0.12</v>
      </c>
      <c r="BC145" s="9">
        <f t="shared" si="638"/>
        <v>0.12</v>
      </c>
      <c r="BD145" s="9">
        <f t="shared" si="638"/>
        <v>0.12</v>
      </c>
      <c r="BE145" s="9">
        <f t="shared" si="638"/>
        <v>0.12</v>
      </c>
      <c r="BF145" s="9">
        <f t="shared" si="638"/>
        <v>0.12</v>
      </c>
      <c r="BG145" s="9">
        <f t="shared" si="638"/>
        <v>0.12</v>
      </c>
      <c r="BH145" s="9">
        <f t="shared" si="638"/>
        <v>0.12</v>
      </c>
      <c r="BI145" s="10"/>
    </row>
    <row r="146" spans="1:61" x14ac:dyDescent="0.2">
      <c r="A146" t="s">
        <v>817</v>
      </c>
      <c r="B146" s="31"/>
      <c r="C146" s="110">
        <v>30</v>
      </c>
      <c r="D146" s="5">
        <f xml:space="preserve"> $C146</f>
        <v>30</v>
      </c>
      <c r="E146" s="5">
        <f t="shared" si="637"/>
        <v>30</v>
      </c>
      <c r="F146" s="5">
        <f t="shared" si="637"/>
        <v>30</v>
      </c>
      <c r="G146" s="5">
        <f t="shared" si="637"/>
        <v>30</v>
      </c>
      <c r="H146" s="5">
        <f t="shared" si="637"/>
        <v>30</v>
      </c>
      <c r="I146" s="5">
        <f t="shared" si="637"/>
        <v>30</v>
      </c>
      <c r="J146" s="5">
        <f t="shared" si="637"/>
        <v>30</v>
      </c>
      <c r="K146" s="5">
        <f t="shared" si="637"/>
        <v>30</v>
      </c>
      <c r="L146" s="5">
        <f t="shared" si="637"/>
        <v>30</v>
      </c>
      <c r="M146" s="5">
        <f t="shared" si="637"/>
        <v>30</v>
      </c>
      <c r="N146" s="5">
        <f t="shared" si="637"/>
        <v>30</v>
      </c>
      <c r="O146" s="5">
        <f t="shared" si="637"/>
        <v>30</v>
      </c>
      <c r="P146" s="5">
        <f t="shared" si="637"/>
        <v>30</v>
      </c>
      <c r="Q146" s="5">
        <f t="shared" si="637"/>
        <v>30</v>
      </c>
      <c r="R146" s="5">
        <f t="shared" si="637"/>
        <v>30</v>
      </c>
      <c r="S146" s="5">
        <f t="shared" si="637"/>
        <v>30</v>
      </c>
      <c r="T146" s="5">
        <f t="shared" si="637"/>
        <v>30</v>
      </c>
      <c r="U146" s="5">
        <f t="shared" si="637"/>
        <v>30</v>
      </c>
      <c r="V146" s="5">
        <f t="shared" si="637"/>
        <v>30</v>
      </c>
      <c r="W146" s="5">
        <f t="shared" si="637"/>
        <v>30</v>
      </c>
      <c r="X146" s="5">
        <f t="shared" si="637"/>
        <v>30</v>
      </c>
      <c r="Y146" s="5">
        <f t="shared" si="637"/>
        <v>30</v>
      </c>
      <c r="Z146" s="5">
        <f t="shared" si="637"/>
        <v>30</v>
      </c>
      <c r="AA146" s="5">
        <f t="shared" si="637"/>
        <v>30</v>
      </c>
      <c r="AB146" s="5">
        <f t="shared" si="637"/>
        <v>30</v>
      </c>
      <c r="AC146" s="5">
        <f t="shared" si="637"/>
        <v>30</v>
      </c>
      <c r="AD146" s="5">
        <f t="shared" si="637"/>
        <v>30</v>
      </c>
      <c r="AE146" s="5">
        <f t="shared" si="637"/>
        <v>30</v>
      </c>
      <c r="AF146" s="5">
        <f t="shared" si="637"/>
        <v>30</v>
      </c>
      <c r="AG146" s="5">
        <f t="shared" si="637"/>
        <v>30</v>
      </c>
      <c r="AH146" s="5">
        <f t="shared" si="637"/>
        <v>30</v>
      </c>
      <c r="AI146" s="5">
        <f t="shared" si="637"/>
        <v>30</v>
      </c>
      <c r="AJ146" s="5">
        <f t="shared" si="637"/>
        <v>30</v>
      </c>
      <c r="AK146" s="5">
        <f t="shared" si="637"/>
        <v>30</v>
      </c>
      <c r="AL146" s="5">
        <f t="shared" si="637"/>
        <v>30</v>
      </c>
      <c r="AM146" s="5">
        <f t="shared" si="637"/>
        <v>30</v>
      </c>
      <c r="AN146" s="5">
        <f t="shared" si="637"/>
        <v>30</v>
      </c>
      <c r="AO146" s="5">
        <f t="shared" si="637"/>
        <v>30</v>
      </c>
      <c r="AP146" s="5">
        <f t="shared" si="638"/>
        <v>30</v>
      </c>
      <c r="AQ146" s="5">
        <f t="shared" si="638"/>
        <v>30</v>
      </c>
      <c r="AR146" s="5">
        <f t="shared" si="638"/>
        <v>30</v>
      </c>
      <c r="AS146" s="5">
        <f t="shared" si="638"/>
        <v>30</v>
      </c>
      <c r="AT146" s="5">
        <f t="shared" si="638"/>
        <v>30</v>
      </c>
      <c r="AU146" s="5">
        <f t="shared" si="638"/>
        <v>30</v>
      </c>
      <c r="AV146" s="5">
        <f t="shared" si="638"/>
        <v>30</v>
      </c>
      <c r="AW146" s="5">
        <f t="shared" si="638"/>
        <v>30</v>
      </c>
      <c r="AX146" s="5">
        <f t="shared" si="638"/>
        <v>30</v>
      </c>
      <c r="AY146" s="5">
        <f t="shared" si="638"/>
        <v>30</v>
      </c>
      <c r="AZ146" s="5">
        <f t="shared" si="638"/>
        <v>30</v>
      </c>
      <c r="BA146" s="5">
        <f t="shared" si="638"/>
        <v>30</v>
      </c>
      <c r="BB146" s="5">
        <f t="shared" si="638"/>
        <v>30</v>
      </c>
      <c r="BC146" s="5">
        <f t="shared" si="638"/>
        <v>30</v>
      </c>
      <c r="BD146" s="5">
        <f t="shared" si="638"/>
        <v>30</v>
      </c>
      <c r="BE146" s="5">
        <f t="shared" si="638"/>
        <v>30</v>
      </c>
      <c r="BF146" s="5">
        <f t="shared" si="638"/>
        <v>30</v>
      </c>
      <c r="BG146" s="5">
        <f t="shared" si="638"/>
        <v>30</v>
      </c>
      <c r="BH146" s="5">
        <f t="shared" si="638"/>
        <v>30</v>
      </c>
      <c r="BI146" s="10"/>
    </row>
    <row r="147" spans="1:61" s="82" customFormat="1" x14ac:dyDescent="0.2">
      <c r="A147" s="82" t="s">
        <v>707</v>
      </c>
      <c r="B147" s="156"/>
      <c r="C147" s="111">
        <f xml:space="preserve"> 12 * (C145/12*C144)/(1-POWER(C145/12+1,-C146*12))</f>
        <v>332719.31226317509</v>
      </c>
      <c r="D147" s="111">
        <f t="shared" ref="D147:AM147" si="639" xml:space="preserve"> 12 * (D145/12*D144)/(1-POWER(D145/12+1,-D146*12))</f>
        <v>629360.70111018268</v>
      </c>
      <c r="E147" s="111">
        <f t="shared" si="639"/>
        <v>8289641.6043517981</v>
      </c>
      <c r="F147" s="111">
        <f t="shared" si="639"/>
        <v>44560658.497505717</v>
      </c>
      <c r="G147" s="111">
        <f t="shared" si="639"/>
        <v>67917837.61492306</v>
      </c>
      <c r="H147" s="111">
        <f t="shared" si="639"/>
        <v>78583620.601414233</v>
      </c>
      <c r="I147" s="111">
        <f t="shared" si="639"/>
        <v>76571515.511939615</v>
      </c>
      <c r="J147" s="111">
        <f t="shared" si="639"/>
        <v>67120024.461388662</v>
      </c>
      <c r="K147" s="111">
        <f t="shared" si="639"/>
        <v>58835164.141356789</v>
      </c>
      <c r="L147" s="111">
        <f t="shared" si="639"/>
        <v>51572933.223999269</v>
      </c>
      <c r="M147" s="111">
        <f t="shared" si="639"/>
        <v>45207104.97104685</v>
      </c>
      <c r="N147" s="111">
        <f t="shared" si="639"/>
        <v>39627033.253796563</v>
      </c>
      <c r="O147" s="111">
        <f t="shared" si="639"/>
        <v>34735729.38375964</v>
      </c>
      <c r="P147" s="111">
        <f t="shared" si="639"/>
        <v>30448176.326855976</v>
      </c>
      <c r="Q147" s="111">
        <f t="shared" si="639"/>
        <v>26689851.000070412</v>
      </c>
      <c r="R147" s="111">
        <f t="shared" si="639"/>
        <v>23395428.966221951</v>
      </c>
      <c r="S147" s="111">
        <f t="shared" si="639"/>
        <v>20507649.01280614</v>
      </c>
      <c r="T147" s="111">
        <f t="shared" si="639"/>
        <v>17976317.879858229</v>
      </c>
      <c r="U147" s="111">
        <f t="shared" si="639"/>
        <v>15757437.837751107</v>
      </c>
      <c r="V147" s="111">
        <f t="shared" si="639"/>
        <v>13812441.951129343</v>
      </c>
      <c r="W147" s="111">
        <f t="shared" si="639"/>
        <v>12107523.73690127</v>
      </c>
      <c r="X147" s="111">
        <f t="shared" si="639"/>
        <v>10613049.564899128</v>
      </c>
      <c r="Y147" s="111">
        <f t="shared" si="639"/>
        <v>9303043.5879891291</v>
      </c>
      <c r="Z147" s="111">
        <f t="shared" si="639"/>
        <v>8154736.2490668083</v>
      </c>
      <c r="AA147" s="111">
        <f t="shared" si="639"/>
        <v>7148168.5174193904</v>
      </c>
      <c r="AB147" s="111">
        <f t="shared" si="639"/>
        <v>6265844.9755837219</v>
      </c>
      <c r="AC147" s="111">
        <f t="shared" si="639"/>
        <v>5492429.7269115867</v>
      </c>
      <c r="AD147" s="111">
        <f t="shared" si="639"/>
        <v>4814479.8383320635</v>
      </c>
      <c r="AE147" s="111">
        <f t="shared" si="639"/>
        <v>4220211.6852097958</v>
      </c>
      <c r="AF147" s="111">
        <f t="shared" si="639"/>
        <v>3699296.137077915</v>
      </c>
      <c r="AG147" s="111">
        <f t="shared" si="639"/>
        <v>3242679.0243151705</v>
      </c>
      <c r="AH147" s="111">
        <f t="shared" si="639"/>
        <v>2842423.7652515681</v>
      </c>
      <c r="AI147" s="111">
        <f t="shared" si="639"/>
        <v>2491573.4183629854</v>
      </c>
      <c r="AJ147" s="111">
        <f t="shared" si="639"/>
        <v>2184029.7618478364</v>
      </c>
      <c r="AK147" s="111">
        <f t="shared" si="639"/>
        <v>1914447.2988362096</v>
      </c>
      <c r="AL147" s="111">
        <f t="shared" si="639"/>
        <v>1678140.3459082576</v>
      </c>
      <c r="AM147" s="111">
        <f t="shared" si="639"/>
        <v>1471001.590003039</v>
      </c>
      <c r="AN147" s="111">
        <f t="shared" ref="AN147:AP147" si="640" xml:space="preserve"> 12 * (AN145/12*AN144)/(1-POWER(AN145/12+1,-AN146*12))</f>
        <v>1289430.6981340901</v>
      </c>
      <c r="AO147" s="111">
        <f t="shared" si="640"/>
        <v>1130271.7390585095</v>
      </c>
      <c r="AP147" s="111">
        <f t="shared" si="640"/>
        <v>990758.32920917193</v>
      </c>
      <c r="AQ147" s="111">
        <f t="shared" ref="AQ147:AS147" si="641" xml:space="preserve"> 12 * (AQ145/12*AQ144)/(1-POWER(AQ145/12+1,-AQ146*12))</f>
        <v>868465.54945716134</v>
      </c>
      <c r="AR147" s="111">
        <f t="shared" si="641"/>
        <v>761267.79695706558</v>
      </c>
      <c r="AS147" s="111">
        <f t="shared" si="641"/>
        <v>667301.83948701376</v>
      </c>
      <c r="AT147" s="111">
        <f t="shared" ref="AT147:AY147" si="642" xml:space="preserve"> 12 * (AT145/12*AT144)/(1-POWER(AT145/12+1,-AT146*12))</f>
        <v>584934.43012126547</v>
      </c>
      <c r="AU147" s="111">
        <f t="shared" si="642"/>
        <v>512733.91933748446</v>
      </c>
      <c r="AV147" s="111">
        <f t="shared" si="642"/>
        <v>449445.37114130182</v>
      </c>
      <c r="AW147" s="111">
        <f t="shared" si="642"/>
        <v>393968.7506950057</v>
      </c>
      <c r="AX147" s="111">
        <f t="shared" si="642"/>
        <v>345339.80432381929</v>
      </c>
      <c r="AY147" s="111">
        <f t="shared" si="642"/>
        <v>302713.29957014695</v>
      </c>
      <c r="AZ147" s="111">
        <f t="shared" ref="AZ147:BE147" si="643" xml:space="preserve"> 12 * (AZ145/12*AZ144)/(1-POWER(AZ145/12+1,-AZ146*12))</f>
        <v>265348.33398677851</v>
      </c>
      <c r="BA147" s="111">
        <f t="shared" si="643"/>
        <v>232595.45731733897</v>
      </c>
      <c r="BB147" s="111">
        <f t="shared" si="643"/>
        <v>203885.38323122737</v>
      </c>
      <c r="BC147" s="111">
        <f t="shared" si="643"/>
        <v>178719.09440875243</v>
      </c>
      <c r="BD147" s="111">
        <f t="shared" si="643"/>
        <v>156659.16899035711</v>
      </c>
      <c r="BE147" s="111">
        <f t="shared" si="643"/>
        <v>137322.17763267359</v>
      </c>
      <c r="BF147" s="111">
        <f t="shared" ref="BF147:BG147" si="644" xml:space="preserve"> 12 * (BF145/12*BF144)/(1-POWER(BF145/12+1,-BF146*12))</f>
        <v>120372.01902264841</v>
      </c>
      <c r="BG147" s="111">
        <f t="shared" si="644"/>
        <v>105514.07801256209</v>
      </c>
      <c r="BH147" s="111">
        <f t="shared" ref="BH147" si="645" xml:space="preserve"> 12 * (BH145/12*BH144)/(1-POWER(BH145/12+1,-BH146*12))</f>
        <v>92490.104836957878</v>
      </c>
      <c r="BI147" s="83"/>
    </row>
    <row r="148" spans="1:61" s="80" customFormat="1" x14ac:dyDescent="0.2">
      <c r="A148" s="80" t="s">
        <v>708</v>
      </c>
      <c r="B148" s="163"/>
      <c r="C148" s="207">
        <f xml:space="preserve"> C129-C140-C147</f>
        <v>-2739446.7122631748</v>
      </c>
      <c r="D148" s="207">
        <f xml:space="preserve"> D129-D140-D147</f>
        <v>-3072189.0121101821</v>
      </c>
      <c r="E148" s="207">
        <f t="shared" ref="E148:AM148" si="646" xml:space="preserve"> E129-E140-E147</f>
        <v>-10769112.340016797</v>
      </c>
      <c r="F148" s="207">
        <f t="shared" si="646"/>
        <v>-47077321.294205688</v>
      </c>
      <c r="G148" s="207">
        <f t="shared" si="646"/>
        <v>37204481.643508792</v>
      </c>
      <c r="H148" s="207">
        <f t="shared" si="646"/>
        <v>145447009.79919589</v>
      </c>
      <c r="I148" s="207">
        <f t="shared" si="646"/>
        <v>276845948.57342637</v>
      </c>
      <c r="J148" s="207">
        <f t="shared" si="646"/>
        <v>420944461.85740435</v>
      </c>
      <c r="K148" s="207">
        <f t="shared" si="646"/>
        <v>570496369.34895146</v>
      </c>
      <c r="L148" s="207">
        <f t="shared" si="646"/>
        <v>723210223.2476151</v>
      </c>
      <c r="M148" s="207">
        <f t="shared" si="646"/>
        <v>693140361.45160139</v>
      </c>
      <c r="N148" s="207">
        <f t="shared" si="646"/>
        <v>815132862.65133512</v>
      </c>
      <c r="O148" s="207">
        <f t="shared" si="646"/>
        <v>944493828.22165596</v>
      </c>
      <c r="P148" s="207">
        <f t="shared" si="646"/>
        <v>989077800.88879287</v>
      </c>
      <c r="Q148" s="207">
        <f t="shared" si="646"/>
        <v>1033118587.0911472</v>
      </c>
      <c r="R148" s="207">
        <f t="shared" si="646"/>
        <v>1176692684.9669635</v>
      </c>
      <c r="S148" s="207">
        <f t="shared" si="646"/>
        <v>1221262042.8518164</v>
      </c>
      <c r="T148" s="207">
        <f t="shared" si="646"/>
        <v>1262575701.0038707</v>
      </c>
      <c r="U148" s="207">
        <f t="shared" si="646"/>
        <v>1306320840.7045076</v>
      </c>
      <c r="V148" s="207">
        <f t="shared" si="646"/>
        <v>1349726470.068058</v>
      </c>
      <c r="W148" s="207">
        <f t="shared" si="646"/>
        <v>1392810376.2999573</v>
      </c>
      <c r="X148" s="207">
        <f t="shared" si="646"/>
        <v>1432519367.035063</v>
      </c>
      <c r="Y148" s="207">
        <f t="shared" si="646"/>
        <v>1474928197.6735821</v>
      </c>
      <c r="Z148" s="207">
        <f t="shared" si="646"/>
        <v>1517044365.1802862</v>
      </c>
      <c r="AA148" s="207">
        <f t="shared" si="646"/>
        <v>1545811905.0714884</v>
      </c>
      <c r="AB148" s="207">
        <f t="shared" si="646"/>
        <v>1587151665.0032473</v>
      </c>
      <c r="AC148" s="207">
        <f t="shared" si="646"/>
        <v>1624878599.4544115</v>
      </c>
      <c r="AD148" s="207">
        <f t="shared" si="646"/>
        <v>1665555882.4129984</v>
      </c>
      <c r="AE148" s="207">
        <f t="shared" si="646"/>
        <v>1705925514.8660064</v>
      </c>
      <c r="AF148" s="207">
        <f t="shared" si="646"/>
        <v>1745978451.3582757</v>
      </c>
      <c r="AG148" s="207">
        <f t="shared" si="646"/>
        <v>1785703960.8153901</v>
      </c>
      <c r="AH148" s="207">
        <f t="shared" si="646"/>
        <v>1825089775.617059</v>
      </c>
      <c r="AI148" s="207">
        <f t="shared" si="646"/>
        <v>1864122221.0837352</v>
      </c>
      <c r="AJ148" s="207">
        <f t="shared" si="646"/>
        <v>1906447170.4915447</v>
      </c>
      <c r="AK148" s="207">
        <f t="shared" si="646"/>
        <v>1944787960.2040346</v>
      </c>
      <c r="AL148" s="207">
        <f t="shared" si="646"/>
        <v>1982725978.8062992</v>
      </c>
      <c r="AM148" s="207">
        <f t="shared" si="646"/>
        <v>2020242883.4111638</v>
      </c>
      <c r="AN148" s="207">
        <f t="shared" ref="AN148:AP148" si="647" xml:space="preserve"> AN129-AN140-AN147</f>
        <v>2057319351.4852703</v>
      </c>
      <c r="AO148" s="207">
        <f t="shared" si="647"/>
        <v>2097837119.4859626</v>
      </c>
      <c r="AP148" s="207">
        <f t="shared" si="647"/>
        <v>2134029323.4458127</v>
      </c>
      <c r="AQ148" s="207">
        <f t="shared" ref="AQ148:AS148" si="648" xml:space="preserve"> AQ129-AQ140-AQ147</f>
        <v>2169716676.7384582</v>
      </c>
      <c r="AR148" s="207">
        <f t="shared" si="648"/>
        <v>2208921013.9767094</v>
      </c>
      <c r="AS148" s="207">
        <f t="shared" si="648"/>
        <v>2243585817.4454155</v>
      </c>
      <c r="AT148" s="207">
        <f t="shared" ref="AT148:AY148" si="649" xml:space="preserve"> AT129-AT140-AT147</f>
        <v>2277673906.0449047</v>
      </c>
      <c r="AU148" s="207">
        <f t="shared" si="649"/>
        <v>2315345847.0367422</v>
      </c>
      <c r="AV148" s="207">
        <f t="shared" si="649"/>
        <v>2348258795.6085501</v>
      </c>
      <c r="AW148" s="207">
        <f t="shared" si="649"/>
        <v>2384795107.9836416</v>
      </c>
      <c r="AX148" s="207">
        <f t="shared" si="649"/>
        <v>2420747973.2604413</v>
      </c>
      <c r="AY148" s="207">
        <f t="shared" si="649"/>
        <v>2451716153.1992745</v>
      </c>
      <c r="AZ148" s="207">
        <f t="shared" ref="AZ148:BE148" si="650" xml:space="preserve"> AZ129-AZ140-AZ147</f>
        <v>2486359403.313642</v>
      </c>
      <c r="BA148" s="207">
        <f t="shared" si="650"/>
        <v>2515865153.4235744</v>
      </c>
      <c r="BB148" s="207">
        <f t="shared" si="650"/>
        <v>2549076184.3153348</v>
      </c>
      <c r="BC148" s="207">
        <f t="shared" si="650"/>
        <v>2581548142.6770382</v>
      </c>
      <c r="BD148" s="207">
        <f t="shared" si="650"/>
        <v>2613247141.1289067</v>
      </c>
      <c r="BE148" s="207">
        <f t="shared" si="650"/>
        <v>2639495231.2207055</v>
      </c>
      <c r="BF148" s="207">
        <f t="shared" ref="BF148:BG148" si="651" xml:space="preserve"> BF129-BF140-BF147</f>
        <v>2669496346.6539388</v>
      </c>
      <c r="BG148" s="207">
        <f t="shared" si="651"/>
        <v>2698619472.1885872</v>
      </c>
      <c r="BH148" s="207">
        <f t="shared" ref="BH148" si="652" xml:space="preserve"> BH129-BH140-BH147</f>
        <v>2726827576.150238</v>
      </c>
      <c r="BI148" s="81"/>
    </row>
    <row r="149" spans="1:61" hidden="1" x14ac:dyDescent="0.2">
      <c r="A149" t="s">
        <v>636</v>
      </c>
      <c r="C149" s="9">
        <f>(C129-C134-C137)/MAX($C138:$AM138)</f>
        <v>-4.0520801333916688E-3</v>
      </c>
      <c r="D149" s="9">
        <f t="shared" ref="D149:AM149" si="653">(D129-D134)/MAX($C138:$AM138)</f>
        <v>-4.0520801333916688E-3</v>
      </c>
      <c r="E149" s="9">
        <f t="shared" si="653"/>
        <v>-4.0520801333916688E-3</v>
      </c>
      <c r="F149" s="9">
        <f t="shared" si="653"/>
        <v>-4.0520801333916688E-3</v>
      </c>
      <c r="G149" s="9">
        <f t="shared" si="653"/>
        <v>0.18969702711821243</v>
      </c>
      <c r="H149" s="9">
        <f t="shared" si="653"/>
        <v>0.40759604343444528</v>
      </c>
      <c r="I149" s="9">
        <f t="shared" si="653"/>
        <v>0.64783902364734247</v>
      </c>
      <c r="J149" s="9">
        <f t="shared" si="653"/>
        <v>0.90209003173068347</v>
      </c>
      <c r="K149" s="9">
        <f t="shared" si="653"/>
        <v>1.1726355785983147</v>
      </c>
      <c r="L149" s="9">
        <f t="shared" si="653"/>
        <v>1.4544338506730163</v>
      </c>
      <c r="M149" s="9">
        <f t="shared" si="653"/>
        <v>1.4799214169287509</v>
      </c>
      <c r="N149" s="9">
        <f t="shared" si="653"/>
        <v>1.7159445159146054</v>
      </c>
      <c r="O149" s="9">
        <f t="shared" si="653"/>
        <v>1.9693595963447112</v>
      </c>
      <c r="P149" s="9">
        <f t="shared" si="653"/>
        <v>2.0671532152753445</v>
      </c>
      <c r="Q149" s="9">
        <f t="shared" si="653"/>
        <v>2.1659198574327259</v>
      </c>
      <c r="R149" s="9">
        <f t="shared" si="653"/>
        <v>2.3991626851057037</v>
      </c>
      <c r="S149" s="9">
        <f t="shared" si="653"/>
        <v>2.499733421465133</v>
      </c>
      <c r="T149" s="9">
        <f t="shared" si="653"/>
        <v>2.5961566719384823</v>
      </c>
      <c r="U149" s="9">
        <f t="shared" si="653"/>
        <v>2.6985315024999603</v>
      </c>
      <c r="V149" s="9">
        <f t="shared" si="653"/>
        <v>2.8018793562881874</v>
      </c>
      <c r="W149" s="9">
        <f t="shared" si="653"/>
        <v>2.9062002333031622</v>
      </c>
      <c r="X149" s="9">
        <f t="shared" si="653"/>
        <v>3.0059684102111071</v>
      </c>
      <c r="Y149" s="9">
        <f t="shared" si="653"/>
        <v>3.1120933814281311</v>
      </c>
      <c r="Z149" s="9">
        <f t="shared" si="653"/>
        <v>3.2191913758719042</v>
      </c>
      <c r="AA149" s="9">
        <f t="shared" si="653"/>
        <v>3.3118822752878478</v>
      </c>
      <c r="AB149" s="9">
        <f t="shared" si="653"/>
        <v>3.4209263161851187</v>
      </c>
      <c r="AC149" s="9">
        <f t="shared" si="653"/>
        <v>3.5249111391991677</v>
      </c>
      <c r="AD149" s="9">
        <f t="shared" si="653"/>
        <v>3.6357592742984863</v>
      </c>
      <c r="AE149" s="9">
        <f t="shared" si="653"/>
        <v>3.7475804326245545</v>
      </c>
      <c r="AF149" s="9">
        <f t="shared" si="653"/>
        <v>3.8603746141773705</v>
      </c>
      <c r="AG149" s="9">
        <f t="shared" si="653"/>
        <v>3.974141818956936</v>
      </c>
      <c r="AH149" s="9">
        <f t="shared" si="653"/>
        <v>4.088882046963251</v>
      </c>
      <c r="AI149" s="9">
        <f t="shared" si="653"/>
        <v>4.2045952981963133</v>
      </c>
      <c r="AJ149" s="9">
        <f t="shared" si="653"/>
        <v>4.3280229386527598</v>
      </c>
      <c r="AK149" s="9">
        <f t="shared" si="653"/>
        <v>4.4458241885907697</v>
      </c>
      <c r="AL149" s="9">
        <f t="shared" si="653"/>
        <v>4.5645984617555291</v>
      </c>
      <c r="AM149" s="9">
        <f t="shared" si="653"/>
        <v>4.6843457581470362</v>
      </c>
      <c r="AN149" s="9">
        <f t="shared" ref="AN149:AP149" si="654">(AN129-AN134)/MAX($C138:$AM138)</f>
        <v>4.8050660777652938</v>
      </c>
      <c r="AO149" s="9">
        <f t="shared" si="654"/>
        <v>4.9340073043831225</v>
      </c>
      <c r="AP149" s="9">
        <f t="shared" si="654"/>
        <v>5.0568156227063259</v>
      </c>
      <c r="AQ149" s="9">
        <f t="shared" ref="AQ149:AS149" si="655">(AQ129-AQ134)/MAX($C138:$AM138)</f>
        <v>5.1805969642562779</v>
      </c>
      <c r="AR149" s="9">
        <f t="shared" si="655"/>
        <v>5.3129031234715169</v>
      </c>
      <c r="AS149" s="9">
        <f t="shared" si="655"/>
        <v>5.4387724637264165</v>
      </c>
      <c r="AT149" s="9">
        <f t="shared" ref="AT149:AY149" si="656">(AT129-AT134)/MAX($C138:$AM138)</f>
        <v>5.5656148272080639</v>
      </c>
      <c r="AU149" s="9">
        <f t="shared" si="656"/>
        <v>5.7012859190207115</v>
      </c>
      <c r="AV149" s="9">
        <f t="shared" si="656"/>
        <v>5.8302162812073091</v>
      </c>
      <c r="AW149" s="9">
        <f t="shared" si="656"/>
        <v>5.9681779788353797</v>
      </c>
      <c r="AX149" s="9">
        <f t="shared" si="656"/>
        <v>6.1073559554968853</v>
      </c>
      <c r="AY149" s="9">
        <f t="shared" si="656"/>
        <v>6.2394892918666267</v>
      </c>
      <c r="AZ149" s="9">
        <f t="shared" ref="AZ149:BE149" si="657">(AZ129-AZ134)/MAX($C138:$AM138)</f>
        <v>6.3809578743435535</v>
      </c>
      <c r="BA149" s="9">
        <f t="shared" si="657"/>
        <v>6.5151792094182444</v>
      </c>
      <c r="BB149" s="9">
        <f t="shared" si="657"/>
        <v>6.6589383977105951</v>
      </c>
      <c r="BC149" s="9">
        <f t="shared" si="657"/>
        <v>6.8039138650363844</v>
      </c>
      <c r="BD149" s="9">
        <f t="shared" si="657"/>
        <v>6.9501056113956077</v>
      </c>
      <c r="BE149" s="9">
        <f t="shared" si="657"/>
        <v>7.0886448961316395</v>
      </c>
      <c r="BF149" s="9">
        <f t="shared" ref="BF149:BG149" si="658">(BF129-BF134)/MAX($C138:$AM138)</f>
        <v>7.2371272483062867</v>
      </c>
      <c r="BG149" s="9">
        <f t="shared" si="658"/>
        <v>7.3868258795143689</v>
      </c>
      <c r="BH149" s="9">
        <f t="shared" ref="BH149" si="659">(BH129-BH134)/MAX($C138:$AM138)</f>
        <v>7.5377407897558868</v>
      </c>
      <c r="BI149" s="9"/>
    </row>
    <row r="150" spans="1:61" hidden="1" x14ac:dyDescent="0.2">
      <c r="A150" t="s">
        <v>648</v>
      </c>
      <c r="C150" s="10" t="e">
        <f>SUM(C36,C45,C20,C72,C88,#REF!)</f>
        <v>#REF!</v>
      </c>
      <c r="D150" s="10" t="e">
        <f>SUM(D36,D45,D20,D72,D88,#REF!)</f>
        <v>#REF!</v>
      </c>
      <c r="E150" s="10" t="e">
        <f>SUM(E36,E45,E20,E72,E88,#REF!)</f>
        <v>#REF!</v>
      </c>
      <c r="F150" s="10" t="e">
        <f>SUM(F36,F45,F20,F72,F88,#REF!)</f>
        <v>#REF!</v>
      </c>
      <c r="G150" s="10" t="e">
        <f>SUM(G36,G45,G20,G72,G88,#REF!)</f>
        <v>#REF!</v>
      </c>
      <c r="H150" s="10" t="e">
        <f>SUM(H36,H45,H20,H72,H88,#REF!)</f>
        <v>#REF!</v>
      </c>
      <c r="I150" s="10" t="e">
        <f>SUM(I36,I45,I20,I72,I88,#REF!)</f>
        <v>#REF!</v>
      </c>
      <c r="J150" s="10" t="e">
        <f>SUM(J36,J45,J20,J72,J88,#REF!)</f>
        <v>#REF!</v>
      </c>
      <c r="K150" s="10" t="e">
        <f>SUM(K36,K45,K20,K72,K88,#REF!)</f>
        <v>#REF!</v>
      </c>
      <c r="L150" s="10" t="e">
        <f>SUM(L36,L45,L20,L72,L88,#REF!)</f>
        <v>#REF!</v>
      </c>
      <c r="M150" s="10" t="e">
        <f>SUM(M36,M45,M20,M72,M88,#REF!)</f>
        <v>#REF!</v>
      </c>
      <c r="N150" s="10" t="e">
        <f>SUM(N36,N45,N20,N72,N88,#REF!)</f>
        <v>#REF!</v>
      </c>
      <c r="O150" s="10" t="e">
        <f>SUM(O36,O45,O20,O72,O88,#REF!)</f>
        <v>#REF!</v>
      </c>
      <c r="P150" s="10" t="e">
        <f>SUM(P36,P45,P20,P72,P88,#REF!)</f>
        <v>#REF!</v>
      </c>
      <c r="Q150" s="10" t="e">
        <f>SUM(Q36,Q45,Q20,Q72,Q88,#REF!)</f>
        <v>#REF!</v>
      </c>
      <c r="R150" s="10" t="e">
        <f>SUM(R36,R45,R20,R72,R88,#REF!)</f>
        <v>#REF!</v>
      </c>
      <c r="S150" s="10" t="e">
        <f>SUM(S36,S45,S20,S72,S88,#REF!)</f>
        <v>#REF!</v>
      </c>
      <c r="T150" s="10" t="e">
        <f>SUM(T36,T45,T20,T72,T88,#REF!)</f>
        <v>#REF!</v>
      </c>
      <c r="U150" s="10" t="e">
        <f>SUM(U36,U45,U20,U72,U88,#REF!)</f>
        <v>#REF!</v>
      </c>
      <c r="V150" s="10" t="e">
        <f>SUM(V36,V45,V20,V72,V88,#REF!)</f>
        <v>#REF!</v>
      </c>
      <c r="W150" s="10" t="e">
        <f>SUM(W36,W45,W20,W72,W88,#REF!)</f>
        <v>#REF!</v>
      </c>
      <c r="X150" s="10" t="e">
        <f>SUM(X36,X45,X20,X72,X88,#REF!)</f>
        <v>#REF!</v>
      </c>
      <c r="Y150" s="10" t="e">
        <f>SUM(Y36,Y45,Y20,Y72,Y88,#REF!)</f>
        <v>#REF!</v>
      </c>
      <c r="Z150" s="10" t="e">
        <f>SUM(Z36,Z45,Z20,Z72,Z88,#REF!)</f>
        <v>#REF!</v>
      </c>
      <c r="AA150" s="10" t="e">
        <f>SUM(AA36,AA45,AA20,AA72,AA88,#REF!)</f>
        <v>#REF!</v>
      </c>
      <c r="AB150" s="10" t="e">
        <f>SUM(AB36,AB45,AB20,AB72,AB88,#REF!)</f>
        <v>#REF!</v>
      </c>
      <c r="AC150" s="10" t="e">
        <f>SUM(AC36,AC45,AC20,AC72,AC88,#REF!)</f>
        <v>#REF!</v>
      </c>
      <c r="AD150" s="10" t="e">
        <f>SUM(AD36,AD45,AD20,AD72,AD88,#REF!)</f>
        <v>#REF!</v>
      </c>
      <c r="AE150" s="10" t="e">
        <f>SUM(AE36,AE45,AE20,AE72,AE88,#REF!)</f>
        <v>#REF!</v>
      </c>
      <c r="AF150" s="10" t="e">
        <f>SUM(AF36,AF45,AF20,AF72,AF88,#REF!)</f>
        <v>#REF!</v>
      </c>
      <c r="AG150" s="10" t="e">
        <f>SUM(AG36,AG45,AG20,AG72,AG88,#REF!)</f>
        <v>#REF!</v>
      </c>
      <c r="AH150" s="10" t="e">
        <f>SUM(AH36,AH45,AH20,AH72,AH88,#REF!)</f>
        <v>#REF!</v>
      </c>
      <c r="AI150" s="10" t="e">
        <f>SUM(AI36,AI45,AI20,AI72,AI88,#REF!)</f>
        <v>#REF!</v>
      </c>
      <c r="AJ150" s="10" t="e">
        <f>SUM(AJ36,AJ45,AJ20,AJ72,AJ88,#REF!)</f>
        <v>#REF!</v>
      </c>
      <c r="AK150" s="10" t="e">
        <f>SUM(AK36,AK45,AK20,AK72,AK88,#REF!)</f>
        <v>#REF!</v>
      </c>
      <c r="AL150" s="10" t="e">
        <f>SUM(AL36,AL45,AL20,AL72,AL88,#REF!)</f>
        <v>#REF!</v>
      </c>
      <c r="AM150" s="10" t="e">
        <f>SUM(AM36,AM45,AM20,AM72,AM88,#REF!)</f>
        <v>#REF!</v>
      </c>
      <c r="AN150" s="10" t="e">
        <f>SUM(AN36,AN45,AN20,AN72,AN88,#REF!)</f>
        <v>#REF!</v>
      </c>
      <c r="AO150" s="10" t="e">
        <f>SUM(AO36,AO45,AO20,AO72,AO88,#REF!)</f>
        <v>#REF!</v>
      </c>
      <c r="AP150" s="10" t="e">
        <f>SUM(AP36,AP45,AP20,AP72,AP88,#REF!)</f>
        <v>#REF!</v>
      </c>
      <c r="AQ150" s="10" t="e">
        <f>SUM(AQ36,AQ45,AQ20,AQ72,AQ88,#REF!)</f>
        <v>#REF!</v>
      </c>
      <c r="AR150" s="10" t="e">
        <f>SUM(AR36,AR45,AR20,AR72,AR88,#REF!)</f>
        <v>#REF!</v>
      </c>
      <c r="AS150" s="10" t="e">
        <f>SUM(AS36,AS45,AS20,AS72,AS88,#REF!)</f>
        <v>#REF!</v>
      </c>
      <c r="AT150" s="10" t="e">
        <f>SUM(AT36,AT45,AT20,AT72,AT88,#REF!)</f>
        <v>#REF!</v>
      </c>
      <c r="AU150" s="10" t="e">
        <f>SUM(AU36,AU45,AU20,AU72,AU88,#REF!)</f>
        <v>#REF!</v>
      </c>
      <c r="AV150" s="10" t="e">
        <f>SUM(AV36,AV45,AV20,AV72,AV88,#REF!)</f>
        <v>#REF!</v>
      </c>
      <c r="AW150" s="10" t="e">
        <f>SUM(AW36,AW45,AW20,AW72,AW88,#REF!)</f>
        <v>#REF!</v>
      </c>
      <c r="AX150" s="10" t="e">
        <f>SUM(AX36,AX45,AX20,AX72,AX88,#REF!)</f>
        <v>#REF!</v>
      </c>
      <c r="AY150" s="10" t="e">
        <f>SUM(AY36,AY45,AY20,AY72,AY88,#REF!)</f>
        <v>#REF!</v>
      </c>
      <c r="AZ150" s="10" t="e">
        <f>SUM(AZ36,AZ45,AZ20,AZ72,AZ88,#REF!)</f>
        <v>#REF!</v>
      </c>
      <c r="BA150" s="10" t="e">
        <f>SUM(BA36,BA45,BA20,BA72,BA88,#REF!)</f>
        <v>#REF!</v>
      </c>
      <c r="BB150" s="10" t="e">
        <f>SUM(BB36,BB45,BB20,BB72,BB88,#REF!)</f>
        <v>#REF!</v>
      </c>
      <c r="BC150" s="10" t="e">
        <f>SUM(BC36,BC45,BC20,BC72,BC88,#REF!)</f>
        <v>#REF!</v>
      </c>
      <c r="BD150" s="10" t="e">
        <f>SUM(BD36,BD45,BD20,BD72,BD88,#REF!)</f>
        <v>#REF!</v>
      </c>
      <c r="BE150" s="10" t="e">
        <f>SUM(BE36,BE45,BE20,BE72,BE88,#REF!)</f>
        <v>#REF!</v>
      </c>
      <c r="BF150" s="10" t="e">
        <f>SUM(BF36,BF45,BF20,BF72,BF88,#REF!)</f>
        <v>#REF!</v>
      </c>
      <c r="BG150" s="10" t="e">
        <f>SUM(BG36,BG45,BG20,BG72,BG88,#REF!)</f>
        <v>#REF!</v>
      </c>
      <c r="BH150" s="10" t="e">
        <f>SUM(BH36,BH45,BH20,BH72,BH88,#REF!)</f>
        <v>#REF!</v>
      </c>
      <c r="BI150" s="10"/>
    </row>
    <row r="151" spans="1:61" x14ac:dyDescent="0.2">
      <c r="A151" t="s">
        <v>742</v>
      </c>
      <c r="C151" s="40">
        <f xml:space="preserve"> C129-C132-C140+C144-C147</f>
        <v>-43912.024263174913</v>
      </c>
      <c r="D151" s="40">
        <f xml:space="preserve"> D129-D132-D140+D144-D147</f>
        <v>2026594.0719466424</v>
      </c>
      <c r="E151" s="40">
        <f xml:space="preserve"> E129-E132-E140+E144-E147</f>
        <v>2896495.5413028952</v>
      </c>
      <c r="F151" s="40">
        <f xml:space="preserve"> F129-F132-F140+F144-F147</f>
        <v>46680633.531946369</v>
      </c>
      <c r="G151" s="40">
        <f xml:space="preserve"> G129-G132-G140+G144-G147</f>
        <v>273579782.00949508</v>
      </c>
      <c r="H151" s="40">
        <f t="shared" ref="H151:AM151" si="660" xml:space="preserve"> H129-H132-H140+H144-H147</f>
        <v>420271809.86324644</v>
      </c>
      <c r="I151" s="40">
        <f t="shared" si="660"/>
        <v>488165358.84481394</v>
      </c>
      <c r="J151" s="40">
        <f t="shared" si="660"/>
        <v>507153373.85182661</v>
      </c>
      <c r="K151" s="40">
        <f t="shared" si="660"/>
        <v>539049897.30745745</v>
      </c>
      <c r="L151" s="40">
        <f t="shared" si="660"/>
        <v>576854086.57006562</v>
      </c>
      <c r="M151" s="40">
        <f t="shared" si="660"/>
        <v>463648088.25302583</v>
      </c>
      <c r="N151" s="40">
        <f t="shared" si="660"/>
        <v>537541441.08777976</v>
      </c>
      <c r="O151" s="40">
        <f t="shared" si="660"/>
        <v>813830199.04645765</v>
      </c>
      <c r="P151" s="40">
        <f t="shared" si="660"/>
        <v>813430073.2836014</v>
      </c>
      <c r="Q151" s="40">
        <f t="shared" si="660"/>
        <v>819983791.7214545</v>
      </c>
      <c r="R151" s="40">
        <f t="shared" si="660"/>
        <v>923809393.83774745</v>
      </c>
      <c r="S151" s="40">
        <f t="shared" si="660"/>
        <v>937621689.13783455</v>
      </c>
      <c r="T151" s="40">
        <f t="shared" si="660"/>
        <v>944862714.41727185</v>
      </c>
      <c r="U151" s="40">
        <f t="shared" si="660"/>
        <v>959299747.72050583</v>
      </c>
      <c r="V151" s="40">
        <f t="shared" si="660"/>
        <v>975380450.513152</v>
      </c>
      <c r="W151" s="40">
        <f t="shared" si="660"/>
        <v>996588385.5531565</v>
      </c>
      <c r="X151" s="40">
        <f t="shared" si="660"/>
        <v>1009538561.0780787</v>
      </c>
      <c r="Y151" s="40">
        <f t="shared" si="660"/>
        <v>1029049474.1355283</v>
      </c>
      <c r="Z151" s="40">
        <f t="shared" si="660"/>
        <v>1049323700.6095476</v>
      </c>
      <c r="AA151" s="40">
        <f t="shared" si="660"/>
        <v>1057138720.5909097</v>
      </c>
      <c r="AB151" s="40">
        <f t="shared" si="660"/>
        <v>1082302243.1596329</v>
      </c>
      <c r="AC151" s="40">
        <f t="shared" si="660"/>
        <v>1097633252.5484176</v>
      </c>
      <c r="AD151" s="40">
        <f t="shared" si="660"/>
        <v>1119232138.6578653</v>
      </c>
      <c r="AE151" s="40">
        <f t="shared" si="660"/>
        <v>1140922387.1806679</v>
      </c>
      <c r="AF151" s="40">
        <f t="shared" si="660"/>
        <v>1162605959.6597226</v>
      </c>
      <c r="AG151" s="40">
        <f t="shared" si="660"/>
        <v>1184193364.5719595</v>
      </c>
      <c r="AH151" s="40">
        <f t="shared" si="660"/>
        <v>1205602529.7385972</v>
      </c>
      <c r="AI151" s="40">
        <f t="shared" si="660"/>
        <v>1222281201.577168</v>
      </c>
      <c r="AJ151" s="40">
        <f t="shared" si="660"/>
        <v>1249880481.8397481</v>
      </c>
      <c r="AK151" s="40">
        <f t="shared" si="660"/>
        <v>1270363196.5120842</v>
      </c>
      <c r="AL151" s="40">
        <f t="shared" si="660"/>
        <v>1290394209.8287139</v>
      </c>
      <c r="AM151" s="40">
        <f t="shared" si="660"/>
        <v>1352182886.4159334</v>
      </c>
      <c r="AN151" s="40">
        <f t="shared" ref="AN151:AP151" si="661" xml:space="preserve"> AN129-AN132-AN140+AN144-AN147</f>
        <v>1372665548.8072586</v>
      </c>
      <c r="AO151" s="40">
        <f t="shared" si="661"/>
        <v>1395221145.0759635</v>
      </c>
      <c r="AP151" s="40">
        <f t="shared" si="661"/>
        <v>1414534538.0075858</v>
      </c>
      <c r="AQ151" s="40">
        <f t="shared" ref="AQ151:AS151" si="662" xml:space="preserve"> AQ129-AQ132-AQ140+AQ144-AQ147</f>
        <v>1433170286.406147</v>
      </c>
      <c r="AR151" s="40">
        <f t="shared" si="662"/>
        <v>1453820867.1278358</v>
      </c>
      <c r="AS151" s="40">
        <f t="shared" si="662"/>
        <v>1471001765.1177907</v>
      </c>
      <c r="AT151" s="40">
        <f t="shared" ref="AT151:AY151" si="663" xml:space="preserve"> AT129-AT132-AT140+AT144-AT147</f>
        <v>1487369520.2708011</v>
      </c>
      <c r="AU151" s="40">
        <f t="shared" si="663"/>
        <v>1505700970.5676725</v>
      </c>
      <c r="AV151" s="40">
        <f t="shared" si="663"/>
        <v>1520348318.2291989</v>
      </c>
      <c r="AW151" s="40">
        <f t="shared" si="663"/>
        <v>1536925568.6640148</v>
      </c>
      <c r="AX151" s="40">
        <f t="shared" si="663"/>
        <v>1552576659.2499878</v>
      </c>
      <c r="AY151" s="40">
        <f t="shared" si="663"/>
        <v>1564335751.0397849</v>
      </c>
      <c r="AZ151" s="40">
        <f t="shared" ref="AZ151:BE151" si="664" xml:space="preserve"> AZ129-AZ132-AZ140+AZ144-AZ147</f>
        <v>1577971045.0770953</v>
      </c>
      <c r="BA151" s="40">
        <f t="shared" si="664"/>
        <v>1587578882.4607513</v>
      </c>
      <c r="BB151" s="40">
        <f t="shared" si="664"/>
        <v>1599024620.0120924</v>
      </c>
      <c r="BC151" s="40">
        <f t="shared" si="664"/>
        <v>1609323302.5671029</v>
      </c>
      <c r="BD151" s="40">
        <f t="shared" si="664"/>
        <v>1618429243.0415523</v>
      </c>
      <c r="BE151" s="40">
        <f t="shared" si="664"/>
        <v>1623238258.5875607</v>
      </c>
      <c r="BF151" s="40">
        <f t="shared" ref="BF151:BG151" si="665" xml:space="preserve"> BF129-BF132-BF140+BF144-BF147</f>
        <v>1629796227.1310074</v>
      </c>
      <c r="BG151" s="40">
        <f t="shared" si="665"/>
        <v>1635022889.3288252</v>
      </c>
      <c r="BH151" s="40">
        <f t="shared" ref="BH151" si="666" xml:space="preserve"> BH129-BH132-BH140+BH144-BH147</f>
        <v>1638870257.1013918</v>
      </c>
    </row>
    <row r="152" spans="1:61" s="82" customFormat="1" x14ac:dyDescent="0.2">
      <c r="A152" s="82" t="s">
        <v>809</v>
      </c>
      <c r="C152" s="83">
        <f t="shared" ref="C152:AM152" si="667" xml:space="preserve"> SUM(C20,C36,C45,C88)</f>
        <v>0</v>
      </c>
      <c r="D152" s="83">
        <f t="shared" si="667"/>
        <v>0</v>
      </c>
      <c r="E152" s="83">
        <f t="shared" si="667"/>
        <v>0</v>
      </c>
      <c r="F152" s="83">
        <f t="shared" si="667"/>
        <v>0</v>
      </c>
      <c r="G152" s="83">
        <f t="shared" si="667"/>
        <v>21016046.868606001</v>
      </c>
      <c r="H152" s="83">
        <f t="shared" si="667"/>
        <v>42757522.595787749</v>
      </c>
      <c r="I152" s="83">
        <f t="shared" si="667"/>
        <v>64498998.322969496</v>
      </c>
      <c r="J152" s="83">
        <f t="shared" si="667"/>
        <v>86240474.050151259</v>
      </c>
      <c r="K152" s="83">
        <f t="shared" si="667"/>
        <v>107981949.77733301</v>
      </c>
      <c r="L152" s="83">
        <f t="shared" si="667"/>
        <v>128997996.64593899</v>
      </c>
      <c r="M152" s="83">
        <f t="shared" si="667"/>
        <v>150014043.51454499</v>
      </c>
      <c r="N152" s="83">
        <f t="shared" si="667"/>
        <v>165226659.51454499</v>
      </c>
      <c r="O152" s="83">
        <f t="shared" si="667"/>
        <v>180439275.51454499</v>
      </c>
      <c r="P152" s="83">
        <f t="shared" si="667"/>
        <v>180439275.51454499</v>
      </c>
      <c r="Q152" s="83">
        <f t="shared" si="667"/>
        <v>180439275.51454499</v>
      </c>
      <c r="R152" s="83">
        <f t="shared" si="667"/>
        <v>180439275.51454499</v>
      </c>
      <c r="S152" s="83">
        <f t="shared" si="667"/>
        <v>180439275.51454499</v>
      </c>
      <c r="T152" s="83">
        <f t="shared" si="667"/>
        <v>180439275.51454499</v>
      </c>
      <c r="U152" s="83">
        <f t="shared" si="667"/>
        <v>180439275.51454499</v>
      </c>
      <c r="V152" s="83">
        <f t="shared" si="667"/>
        <v>180439275.51454499</v>
      </c>
      <c r="W152" s="83">
        <f t="shared" si="667"/>
        <v>180439275.51454499</v>
      </c>
      <c r="X152" s="83">
        <f t="shared" si="667"/>
        <v>180439275.51454499</v>
      </c>
      <c r="Y152" s="83">
        <f t="shared" si="667"/>
        <v>180439275.51454499</v>
      </c>
      <c r="Z152" s="83">
        <f t="shared" si="667"/>
        <v>180439275.51454499</v>
      </c>
      <c r="AA152" s="83">
        <f t="shared" si="667"/>
        <v>180439275.51454499</v>
      </c>
      <c r="AB152" s="83">
        <f t="shared" si="667"/>
        <v>180439275.51454499</v>
      </c>
      <c r="AC152" s="83">
        <f t="shared" si="667"/>
        <v>180439275.51454499</v>
      </c>
      <c r="AD152" s="83">
        <f t="shared" si="667"/>
        <v>180439275.51454499</v>
      </c>
      <c r="AE152" s="83">
        <f t="shared" si="667"/>
        <v>180439275.51454499</v>
      </c>
      <c r="AF152" s="83">
        <f t="shared" si="667"/>
        <v>180439275.51454499</v>
      </c>
      <c r="AG152" s="83">
        <f t="shared" si="667"/>
        <v>180439275.51454499</v>
      </c>
      <c r="AH152" s="83">
        <f t="shared" si="667"/>
        <v>180439275.51454499</v>
      </c>
      <c r="AI152" s="83">
        <f t="shared" si="667"/>
        <v>180439275.51454499</v>
      </c>
      <c r="AJ152" s="83">
        <f t="shared" si="667"/>
        <v>180439275.51454499</v>
      </c>
      <c r="AK152" s="83">
        <f t="shared" si="667"/>
        <v>180439275.51454499</v>
      </c>
      <c r="AL152" s="83">
        <f t="shared" si="667"/>
        <v>180439275.51454499</v>
      </c>
      <c r="AM152" s="83">
        <f t="shared" si="667"/>
        <v>180439275.51454499</v>
      </c>
      <c r="AN152" s="83">
        <f t="shared" ref="AN152:AP152" si="668" xml:space="preserve"> SUM(AN20,AN36,AN45,AN88)</f>
        <v>180439275.51454499</v>
      </c>
      <c r="AO152" s="83">
        <f t="shared" si="668"/>
        <v>180439275.51454499</v>
      </c>
      <c r="AP152" s="83">
        <f t="shared" si="668"/>
        <v>180439275.51454499</v>
      </c>
      <c r="AQ152" s="83">
        <f t="shared" ref="AQ152:AS152" si="669" xml:space="preserve"> SUM(AQ20,AQ36,AQ45,AQ88)</f>
        <v>180439275.51454499</v>
      </c>
      <c r="AR152" s="83">
        <f t="shared" si="669"/>
        <v>180439275.51454499</v>
      </c>
      <c r="AS152" s="83">
        <f t="shared" si="669"/>
        <v>180439275.51454499</v>
      </c>
      <c r="AT152" s="83">
        <f t="shared" ref="AT152:AY152" si="670" xml:space="preserve"> SUM(AT20,AT36,AT45,AT88)</f>
        <v>180439275.51454499</v>
      </c>
      <c r="AU152" s="83">
        <f t="shared" si="670"/>
        <v>180439275.51454499</v>
      </c>
      <c r="AV152" s="83">
        <f t="shared" si="670"/>
        <v>180439275.51454499</v>
      </c>
      <c r="AW152" s="83">
        <f t="shared" si="670"/>
        <v>180439275.51454499</v>
      </c>
      <c r="AX152" s="83">
        <f t="shared" si="670"/>
        <v>180439275.51454499</v>
      </c>
      <c r="AY152" s="83">
        <f t="shared" si="670"/>
        <v>180439275.51454499</v>
      </c>
      <c r="AZ152" s="83">
        <f t="shared" ref="AZ152:BE152" si="671" xml:space="preserve"> SUM(AZ20,AZ36,AZ45,AZ88)</f>
        <v>180439275.51454499</v>
      </c>
      <c r="BA152" s="83">
        <f t="shared" si="671"/>
        <v>180439275.51454499</v>
      </c>
      <c r="BB152" s="83">
        <f t="shared" si="671"/>
        <v>180439275.51454499</v>
      </c>
      <c r="BC152" s="83">
        <f t="shared" si="671"/>
        <v>180439275.51454499</v>
      </c>
      <c r="BD152" s="83">
        <f t="shared" si="671"/>
        <v>180439275.51454499</v>
      </c>
      <c r="BE152" s="83">
        <f t="shared" si="671"/>
        <v>180439275.51454499</v>
      </c>
      <c r="BF152" s="83">
        <f t="shared" ref="BF152:BG152" si="672" xml:space="preserve"> SUM(BF20,BF36,BF45,BF88)</f>
        <v>180439275.51454499</v>
      </c>
      <c r="BG152" s="83">
        <f t="shared" si="672"/>
        <v>180439275.51454499</v>
      </c>
      <c r="BH152" s="83">
        <f t="shared" ref="BH152" si="673" xml:space="preserve"> SUM(BH20,BH36,BH45,BH88)</f>
        <v>180439275.51454499</v>
      </c>
    </row>
    <row r="156" spans="1:61" x14ac:dyDescent="0.2">
      <c r="M156" s="120">
        <f t="shared" ref="M156:BG156" si="674" xml:space="preserve"> IF(M$46 &lt;=300000, M$46, 300000 * (1 - (M$1 - $C$1)/($BH$1 - $M$1)/2))</f>
        <v>297956.08964110777</v>
      </c>
      <c r="N156" s="120">
        <f t="shared" si="674"/>
        <v>264893.61702127662</v>
      </c>
      <c r="O156" s="120">
        <f t="shared" si="674"/>
        <v>261702.12765957447</v>
      </c>
      <c r="P156" s="120">
        <f t="shared" si="674"/>
        <v>258510.63829787233</v>
      </c>
      <c r="Q156" s="120">
        <f t="shared" si="674"/>
        <v>255319.14893617021</v>
      </c>
      <c r="R156" s="120">
        <f t="shared" si="674"/>
        <v>252127.6595744681</v>
      </c>
      <c r="S156" s="120">
        <f t="shared" si="674"/>
        <v>248936.17021276595</v>
      </c>
      <c r="T156" s="120">
        <f t="shared" si="674"/>
        <v>245744.68085106384</v>
      </c>
      <c r="U156" s="120">
        <f t="shared" si="674"/>
        <v>242553.19148936172</v>
      </c>
      <c r="V156" s="120">
        <f t="shared" si="674"/>
        <v>239361.70212765958</v>
      </c>
      <c r="W156" s="120">
        <f t="shared" si="674"/>
        <v>236170.21276595746</v>
      </c>
      <c r="X156" s="120">
        <f t="shared" si="674"/>
        <v>232978.72340425535</v>
      </c>
      <c r="Y156" s="120">
        <f t="shared" si="674"/>
        <v>229787.2340425532</v>
      </c>
      <c r="Z156" s="120">
        <f t="shared" si="674"/>
        <v>226595.74468085109</v>
      </c>
      <c r="AA156" s="120">
        <f t="shared" si="674"/>
        <v>223404.25531914897</v>
      </c>
      <c r="AB156" s="120">
        <f t="shared" si="674"/>
        <v>220212.7659574468</v>
      </c>
      <c r="AC156" s="120">
        <f t="shared" si="674"/>
        <v>217021.27659574465</v>
      </c>
      <c r="AD156" s="120">
        <f t="shared" si="674"/>
        <v>213829.78723404254</v>
      </c>
      <c r="AE156" s="120">
        <f t="shared" si="674"/>
        <v>210638.29787234042</v>
      </c>
      <c r="AF156" s="120">
        <f t="shared" si="674"/>
        <v>207446.80851063828</v>
      </c>
      <c r="AG156" s="120">
        <f t="shared" si="674"/>
        <v>204255.31914893616</v>
      </c>
      <c r="AH156" s="120">
        <f t="shared" si="674"/>
        <v>201063.82978723405</v>
      </c>
      <c r="AI156" s="120">
        <f t="shared" si="674"/>
        <v>197872.3404255319</v>
      </c>
      <c r="AJ156" s="120">
        <f t="shared" si="674"/>
        <v>194680.85106382979</v>
      </c>
      <c r="AK156" s="120">
        <f t="shared" si="674"/>
        <v>191489.36170212767</v>
      </c>
      <c r="AL156" s="120">
        <f t="shared" si="674"/>
        <v>188297.87234042553</v>
      </c>
      <c r="AM156" s="120">
        <f t="shared" si="674"/>
        <v>185106.38297872341</v>
      </c>
      <c r="AN156" s="120">
        <f t="shared" si="674"/>
        <v>181914.8936170213</v>
      </c>
      <c r="AO156" s="120">
        <f t="shared" si="674"/>
        <v>178723.40425531915</v>
      </c>
      <c r="AP156" s="120">
        <f t="shared" si="674"/>
        <v>175531.91489361704</v>
      </c>
      <c r="AQ156" s="120">
        <f t="shared" si="674"/>
        <v>172340.42553191492</v>
      </c>
      <c r="AR156" s="120">
        <f t="shared" si="674"/>
        <v>169148.93617021275</v>
      </c>
      <c r="AS156" s="120">
        <f t="shared" si="674"/>
        <v>165957.44680851063</v>
      </c>
      <c r="AT156" s="120">
        <f t="shared" si="674"/>
        <v>162765.95744680852</v>
      </c>
      <c r="AU156" s="120">
        <f t="shared" si="674"/>
        <v>159574.46808510637</v>
      </c>
      <c r="AV156" s="120">
        <f t="shared" si="674"/>
        <v>156382.97872340423</v>
      </c>
      <c r="AW156" s="120">
        <f t="shared" si="674"/>
        <v>153191.48936170214</v>
      </c>
      <c r="AX156" s="120">
        <f t="shared" si="674"/>
        <v>150000</v>
      </c>
      <c r="AY156" s="120">
        <f t="shared" si="674"/>
        <v>146808.51063829788</v>
      </c>
      <c r="AZ156" s="120">
        <f t="shared" si="674"/>
        <v>143617.02127659574</v>
      </c>
      <c r="BA156" s="120">
        <f t="shared" si="674"/>
        <v>140425.53191489363</v>
      </c>
      <c r="BB156" s="120">
        <f t="shared" si="674"/>
        <v>137234.04255319151</v>
      </c>
      <c r="BC156" s="120">
        <f t="shared" si="674"/>
        <v>134042.55319148937</v>
      </c>
      <c r="BD156" s="120">
        <f t="shared" si="674"/>
        <v>130851.06382978724</v>
      </c>
      <c r="BE156" s="120">
        <f t="shared" si="674"/>
        <v>127659.57446808509</v>
      </c>
      <c r="BF156" s="120">
        <f t="shared" si="674"/>
        <v>124468.08510638298</v>
      </c>
      <c r="BG156" s="120">
        <f t="shared" si="674"/>
        <v>121276.59574468086</v>
      </c>
      <c r="BH156" s="120">
        <f xml:space="preserve"> IF(BH151 &lt;=300000, BH151, 300000 * (1 - (BH106 - $C106)/($BH106 - $M106)/2))</f>
        <v>143755.96044523543</v>
      </c>
    </row>
  </sheetData>
  <sheetProtection selectLockedCells="1" selectUnlockedCells="1"/>
  <dataConsolidate/>
  <printOptions gridLines="1"/>
  <pageMargins left="0.78749999999999998" right="0.78749999999999998" top="1.0527777777777778" bottom="1.0527777777777778" header="0.78749999999999998" footer="0.78749999999999998"/>
  <pageSetup firstPageNumber="0" fitToWidth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30"/>
  <sheetViews>
    <sheetView zoomScale="110" zoomScaleNormal="110" workbookViewId="0">
      <selection activeCell="A3" sqref="A3"/>
    </sheetView>
  </sheetViews>
  <sheetFormatPr defaultColWidth="11.5703125" defaultRowHeight="12.75" x14ac:dyDescent="0.2"/>
  <cols>
    <col min="1" max="1" width="26.5703125" customWidth="1"/>
    <col min="2" max="2" width="10" customWidth="1"/>
    <col min="3" max="3" width="12.42578125" customWidth="1"/>
    <col min="4" max="4" width="14.140625" customWidth="1"/>
    <col min="5" max="5" width="8" customWidth="1"/>
    <col min="7" max="7" width="5.5703125" customWidth="1"/>
    <col min="8" max="8" width="16.140625" customWidth="1"/>
  </cols>
  <sheetData>
    <row r="1" spans="1:8" s="1" customFormat="1" x14ac:dyDescent="0.2">
      <c r="A1" s="1" t="s">
        <v>272</v>
      </c>
      <c r="B1" s="1" t="s">
        <v>313</v>
      </c>
      <c r="C1" s="1" t="s">
        <v>273</v>
      </c>
      <c r="D1" s="1" t="s">
        <v>273</v>
      </c>
      <c r="E1" s="1" t="s">
        <v>314</v>
      </c>
      <c r="F1" s="1" t="s">
        <v>238</v>
      </c>
      <c r="G1" s="1" t="s">
        <v>107</v>
      </c>
      <c r="H1" s="1" t="s">
        <v>106</v>
      </c>
    </row>
    <row r="2" spans="1:8" s="1" customFormat="1" x14ac:dyDescent="0.2">
      <c r="A2" s="1" t="s">
        <v>771</v>
      </c>
      <c r="B2" s="46" t="s">
        <v>274</v>
      </c>
      <c r="E2" s="46" t="s">
        <v>275</v>
      </c>
      <c r="F2" s="46"/>
      <c r="G2" s="46"/>
    </row>
    <row r="3" spans="1:8" x14ac:dyDescent="0.2">
      <c r="A3" t="s">
        <v>276</v>
      </c>
      <c r="B3">
        <v>698</v>
      </c>
      <c r="C3" t="s">
        <v>277</v>
      </c>
      <c r="D3" t="s">
        <v>278</v>
      </c>
      <c r="E3" s="5">
        <f>B3*0.245</f>
        <v>171.01</v>
      </c>
      <c r="F3" s="10">
        <v>1600</v>
      </c>
      <c r="G3" s="30" t="s">
        <v>279</v>
      </c>
      <c r="H3" s="30">
        <f t="shared" ref="H3:H16" si="0">E3*F3</f>
        <v>273616</v>
      </c>
    </row>
    <row r="4" spans="1:8" x14ac:dyDescent="0.2">
      <c r="A4" t="s">
        <v>280</v>
      </c>
      <c r="B4">
        <v>140</v>
      </c>
      <c r="C4" t="s">
        <v>277</v>
      </c>
      <c r="D4" t="s">
        <v>278</v>
      </c>
      <c r="E4" s="5">
        <f>B4*0.245</f>
        <v>34.299999999999997</v>
      </c>
      <c r="F4" s="10">
        <v>1600</v>
      </c>
      <c r="G4" s="30" t="s">
        <v>279</v>
      </c>
      <c r="H4" s="30">
        <f t="shared" si="0"/>
        <v>54879.999999999993</v>
      </c>
    </row>
    <row r="5" spans="1:8" x14ac:dyDescent="0.2">
      <c r="A5" t="s">
        <v>281</v>
      </c>
      <c r="B5">
        <v>24</v>
      </c>
      <c r="C5" t="s">
        <v>277</v>
      </c>
      <c r="D5" t="s">
        <v>278</v>
      </c>
      <c r="E5" s="5">
        <f>B5*0.245</f>
        <v>5.88</v>
      </c>
      <c r="F5" s="10">
        <v>1600</v>
      </c>
      <c r="G5" s="30" t="s">
        <v>279</v>
      </c>
      <c r="H5" s="30">
        <f t="shared" si="0"/>
        <v>9408</v>
      </c>
    </row>
    <row r="6" spans="1:8" x14ac:dyDescent="0.2">
      <c r="A6" t="s">
        <v>282</v>
      </c>
      <c r="B6">
        <v>8</v>
      </c>
      <c r="C6" t="s">
        <v>277</v>
      </c>
      <c r="D6" t="s">
        <v>278</v>
      </c>
      <c r="E6" s="5">
        <f>B6*0.245</f>
        <v>1.96</v>
      </c>
      <c r="F6" s="10">
        <v>1600</v>
      </c>
      <c r="G6" s="30" t="s">
        <v>279</v>
      </c>
      <c r="H6" s="30">
        <f t="shared" si="0"/>
        <v>3136</v>
      </c>
    </row>
    <row r="7" spans="1:8" x14ac:dyDescent="0.2">
      <c r="A7" t="s">
        <v>283</v>
      </c>
      <c r="B7">
        <v>116.3</v>
      </c>
      <c r="C7" t="s">
        <v>265</v>
      </c>
      <c r="D7" t="s">
        <v>265</v>
      </c>
      <c r="E7" s="5">
        <f t="shared" ref="E7:E14" si="1">B7*0.25</f>
        <v>29.074999999999999</v>
      </c>
      <c r="F7" s="10">
        <v>4420</v>
      </c>
      <c r="G7" s="30" t="s">
        <v>279</v>
      </c>
      <c r="H7" s="30">
        <f t="shared" si="0"/>
        <v>128511.5</v>
      </c>
    </row>
    <row r="8" spans="1:8" x14ac:dyDescent="0.2">
      <c r="A8" t="s">
        <v>284</v>
      </c>
      <c r="B8">
        <v>4</v>
      </c>
      <c r="C8" t="s">
        <v>265</v>
      </c>
      <c r="D8" t="s">
        <v>265</v>
      </c>
      <c r="E8" s="11">
        <f t="shared" si="1"/>
        <v>1</v>
      </c>
      <c r="F8" s="10">
        <v>4420</v>
      </c>
      <c r="G8" s="30" t="s">
        <v>279</v>
      </c>
      <c r="H8" s="30">
        <f t="shared" si="0"/>
        <v>4420</v>
      </c>
    </row>
    <row r="9" spans="1:8" x14ac:dyDescent="0.2">
      <c r="A9" t="s">
        <v>285</v>
      </c>
      <c r="B9">
        <v>2</v>
      </c>
      <c r="C9" t="s">
        <v>265</v>
      </c>
      <c r="D9" t="s">
        <v>265</v>
      </c>
      <c r="E9" s="11">
        <f t="shared" si="1"/>
        <v>0.5</v>
      </c>
      <c r="F9" s="10">
        <v>4420</v>
      </c>
      <c r="G9" s="30" t="s">
        <v>279</v>
      </c>
      <c r="H9" s="30">
        <f t="shared" si="0"/>
        <v>2210</v>
      </c>
    </row>
    <row r="10" spans="1:8" x14ac:dyDescent="0.2">
      <c r="A10" t="s">
        <v>286</v>
      </c>
      <c r="B10">
        <v>1</v>
      </c>
      <c r="C10" t="s">
        <v>265</v>
      </c>
      <c r="D10" t="s">
        <v>265</v>
      </c>
      <c r="E10" s="11">
        <f t="shared" si="1"/>
        <v>0.25</v>
      </c>
      <c r="F10" s="10">
        <v>4420</v>
      </c>
      <c r="G10" s="30" t="s">
        <v>279</v>
      </c>
      <c r="H10" s="30">
        <f t="shared" si="0"/>
        <v>1105</v>
      </c>
    </row>
    <row r="11" spans="1:8" x14ac:dyDescent="0.2">
      <c r="A11" t="s">
        <v>287</v>
      </c>
      <c r="B11" s="5">
        <v>1433</v>
      </c>
      <c r="C11" t="s">
        <v>265</v>
      </c>
      <c r="D11" t="s">
        <v>265</v>
      </c>
      <c r="E11" s="5">
        <f t="shared" si="1"/>
        <v>358.25</v>
      </c>
      <c r="F11" s="10">
        <v>4420</v>
      </c>
      <c r="G11" s="30" t="s">
        <v>279</v>
      </c>
      <c r="H11" s="30">
        <f t="shared" si="0"/>
        <v>1583465</v>
      </c>
    </row>
    <row r="12" spans="1:8" x14ac:dyDescent="0.2">
      <c r="A12" t="s">
        <v>288</v>
      </c>
      <c r="B12" s="5">
        <v>147</v>
      </c>
      <c r="C12" t="s">
        <v>265</v>
      </c>
      <c r="D12" t="s">
        <v>265</v>
      </c>
      <c r="E12" s="5">
        <f t="shared" si="1"/>
        <v>36.75</v>
      </c>
      <c r="F12" s="10">
        <v>4420</v>
      </c>
      <c r="G12" s="30" t="s">
        <v>279</v>
      </c>
      <c r="H12" s="30">
        <f t="shared" si="0"/>
        <v>162435</v>
      </c>
    </row>
    <row r="13" spans="1:8" x14ac:dyDescent="0.2">
      <c r="A13" t="s">
        <v>289</v>
      </c>
      <c r="B13" s="5">
        <v>110</v>
      </c>
      <c r="C13" t="s">
        <v>265</v>
      </c>
      <c r="D13" t="s">
        <v>265</v>
      </c>
      <c r="E13" s="5">
        <f t="shared" si="1"/>
        <v>27.5</v>
      </c>
      <c r="F13" s="10">
        <v>4420</v>
      </c>
      <c r="G13" s="30" t="s">
        <v>279</v>
      </c>
      <c r="H13" s="30">
        <f t="shared" si="0"/>
        <v>121550</v>
      </c>
    </row>
    <row r="14" spans="1:8" x14ac:dyDescent="0.2">
      <c r="A14" t="s">
        <v>290</v>
      </c>
      <c r="B14" s="5">
        <v>2160</v>
      </c>
      <c r="C14" t="s">
        <v>265</v>
      </c>
      <c r="D14" t="s">
        <v>265</v>
      </c>
      <c r="E14" s="5">
        <f t="shared" si="1"/>
        <v>540</v>
      </c>
      <c r="F14" s="10">
        <v>4420</v>
      </c>
      <c r="G14" s="30" t="s">
        <v>279</v>
      </c>
      <c r="H14" s="30">
        <f t="shared" si="0"/>
        <v>2386800</v>
      </c>
    </row>
    <row r="15" spans="1:8" x14ac:dyDescent="0.2">
      <c r="A15" t="s">
        <v>291</v>
      </c>
      <c r="B15" s="5">
        <v>1320</v>
      </c>
      <c r="C15" t="s">
        <v>292</v>
      </c>
      <c r="D15" t="s">
        <v>293</v>
      </c>
      <c r="E15" s="5">
        <f>B15*0.251</f>
        <v>331.32</v>
      </c>
      <c r="F15" s="10">
        <v>3454</v>
      </c>
      <c r="G15" s="30" t="s">
        <v>279</v>
      </c>
      <c r="H15" s="30">
        <f t="shared" si="0"/>
        <v>1144379.28</v>
      </c>
    </row>
    <row r="16" spans="1:8" x14ac:dyDescent="0.2">
      <c r="A16" t="s">
        <v>294</v>
      </c>
      <c r="B16" s="5">
        <v>360</v>
      </c>
      <c r="C16" t="s">
        <v>295</v>
      </c>
      <c r="D16" t="s">
        <v>265</v>
      </c>
      <c r="E16" s="5">
        <v>3</v>
      </c>
      <c r="F16" s="10">
        <v>21600</v>
      </c>
      <c r="G16" s="30" t="s">
        <v>279</v>
      </c>
      <c r="H16" s="30">
        <f t="shared" si="0"/>
        <v>64800</v>
      </c>
    </row>
    <row r="17" spans="1:11" x14ac:dyDescent="0.2">
      <c r="B17" s="47" t="s">
        <v>253</v>
      </c>
      <c r="E17" s="5"/>
      <c r="F17" s="10"/>
      <c r="G17" s="30"/>
      <c r="H17" s="30"/>
    </row>
    <row r="18" spans="1:11" x14ac:dyDescent="0.2">
      <c r="A18" t="s">
        <v>296</v>
      </c>
      <c r="B18" s="5">
        <v>1860</v>
      </c>
      <c r="C18" t="s">
        <v>297</v>
      </c>
      <c r="D18" t="s">
        <v>298</v>
      </c>
      <c r="E18" s="5">
        <f>B18*45/2000</f>
        <v>41.85</v>
      </c>
      <c r="F18" s="10">
        <v>1540</v>
      </c>
      <c r="G18" s="30" t="s">
        <v>279</v>
      </c>
      <c r="H18" s="30">
        <f>E18*F18</f>
        <v>64449</v>
      </c>
    </row>
    <row r="19" spans="1:11" x14ac:dyDescent="0.2">
      <c r="A19" t="s">
        <v>283</v>
      </c>
      <c r="B19" s="5">
        <v>192</v>
      </c>
      <c r="C19" t="s">
        <v>297</v>
      </c>
      <c r="D19" t="s">
        <v>298</v>
      </c>
      <c r="E19" s="5">
        <f>B19*45/2000</f>
        <v>4.32</v>
      </c>
      <c r="F19" s="10">
        <v>1540</v>
      </c>
      <c r="G19" s="30" t="s">
        <v>279</v>
      </c>
      <c r="H19" s="30">
        <f>E19*F19</f>
        <v>6652.8</v>
      </c>
    </row>
    <row r="20" spans="1:11" x14ac:dyDescent="0.2">
      <c r="A20" t="s">
        <v>283</v>
      </c>
      <c r="B20" s="5">
        <v>384</v>
      </c>
      <c r="C20" t="s">
        <v>297</v>
      </c>
      <c r="D20" t="s">
        <v>298</v>
      </c>
      <c r="E20" s="5">
        <f>B20*45/2000</f>
        <v>8.64</v>
      </c>
      <c r="F20" s="10">
        <v>1540</v>
      </c>
      <c r="G20" s="30" t="s">
        <v>279</v>
      </c>
      <c r="H20" s="30">
        <f>E20*F20</f>
        <v>13305.6</v>
      </c>
    </row>
    <row r="22" spans="1:11" x14ac:dyDescent="0.2">
      <c r="A22" t="s">
        <v>299</v>
      </c>
      <c r="B22">
        <v>15</v>
      </c>
      <c r="C22" t="s">
        <v>265</v>
      </c>
      <c r="D22" t="s">
        <v>300</v>
      </c>
      <c r="F22" s="2">
        <v>477528.75</v>
      </c>
      <c r="G22" s="30" t="s">
        <v>170</v>
      </c>
      <c r="H22" s="2">
        <f>B22*F22</f>
        <v>7162931.25</v>
      </c>
      <c r="K22" s="30"/>
    </row>
    <row r="23" spans="1:11" x14ac:dyDescent="0.2">
      <c r="A23" t="s">
        <v>301</v>
      </c>
      <c r="B23">
        <v>15</v>
      </c>
      <c r="C23" t="s">
        <v>265</v>
      </c>
      <c r="D23" t="s">
        <v>265</v>
      </c>
      <c r="E23" s="5">
        <f>B23</f>
        <v>15</v>
      </c>
      <c r="F23" s="10">
        <v>2666.67</v>
      </c>
      <c r="G23" s="30" t="s">
        <v>170</v>
      </c>
      <c r="H23" s="30">
        <f>E23*F23</f>
        <v>40000.050000000003</v>
      </c>
    </row>
    <row r="24" spans="1:11" x14ac:dyDescent="0.2">
      <c r="A24" t="s">
        <v>302</v>
      </c>
      <c r="C24" t="s">
        <v>303</v>
      </c>
      <c r="D24" t="s">
        <v>304</v>
      </c>
      <c r="H24" s="30">
        <v>40000</v>
      </c>
    </row>
    <row r="25" spans="1:11" x14ac:dyDescent="0.2">
      <c r="A25" t="s">
        <v>305</v>
      </c>
      <c r="B25" s="5">
        <v>6664</v>
      </c>
      <c r="C25" t="s">
        <v>306</v>
      </c>
      <c r="D25" t="s">
        <v>293</v>
      </c>
      <c r="E25" s="5">
        <f>B25</f>
        <v>6664</v>
      </c>
      <c r="F25" s="10">
        <v>10</v>
      </c>
      <c r="G25" s="30" t="s">
        <v>170</v>
      </c>
      <c r="H25" s="30">
        <f>E25*F25</f>
        <v>66640</v>
      </c>
    </row>
    <row r="26" spans="1:11" x14ac:dyDescent="0.2">
      <c r="A26" t="s">
        <v>307</v>
      </c>
      <c r="B26">
        <v>680</v>
      </c>
      <c r="E26" s="5">
        <f>B26</f>
        <v>680</v>
      </c>
      <c r="F26" s="10">
        <v>100</v>
      </c>
      <c r="G26" s="30" t="s">
        <v>170</v>
      </c>
      <c r="H26" s="30">
        <f>E26*F26</f>
        <v>68000</v>
      </c>
    </row>
    <row r="27" spans="1:11" x14ac:dyDescent="0.2">
      <c r="H27" s="30"/>
    </row>
    <row r="28" spans="1:11" s="1" customFormat="1" x14ac:dyDescent="0.2">
      <c r="A28" s="1" t="s">
        <v>309</v>
      </c>
      <c r="E28" s="13">
        <f>SUM(E3:E20)</f>
        <v>1595.6049999999998</v>
      </c>
      <c r="H28" s="28">
        <f>SUM(H3:H26)</f>
        <v>13402694.48</v>
      </c>
    </row>
    <row r="30" spans="1:11" x14ac:dyDescent="0.2">
      <c r="A30" t="s">
        <v>210</v>
      </c>
      <c r="B30">
        <v>31</v>
      </c>
      <c r="C30" t="s">
        <v>265</v>
      </c>
      <c r="D30" t="s">
        <v>265</v>
      </c>
      <c r="E30">
        <v>8</v>
      </c>
      <c r="F30" s="10">
        <v>4420</v>
      </c>
      <c r="G30" s="30" t="s">
        <v>279</v>
      </c>
      <c r="H30" s="30">
        <f>E30*F30</f>
        <v>35360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landscape" horizontalDpi="300" verticalDpi="300" r:id="rId1"/>
  <headerFooter alignWithMargins="0">
    <oddHeader>&amp;C&amp;"Times New Roman,Regular"&amp;12VTE Plant Materials Cost (2013 steel quotes)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H30"/>
  <sheetViews>
    <sheetView zoomScale="110" zoomScaleNormal="110" workbookViewId="0">
      <selection activeCell="B4" sqref="B4"/>
    </sheetView>
  </sheetViews>
  <sheetFormatPr defaultColWidth="11.5703125" defaultRowHeight="12.75" x14ac:dyDescent="0.2"/>
  <cols>
    <col min="1" max="1" width="30.1406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315</v>
      </c>
      <c r="B1" s="1" t="s">
        <v>245</v>
      </c>
      <c r="C1" s="1" t="s">
        <v>107</v>
      </c>
    </row>
    <row r="2" spans="1:8" x14ac:dyDescent="0.2">
      <c r="C2" s="44"/>
      <c r="D2" s="44"/>
    </row>
    <row r="3" spans="1:8" x14ac:dyDescent="0.2">
      <c r="A3" t="s">
        <v>316</v>
      </c>
      <c r="B3" s="5">
        <v>15</v>
      </c>
      <c r="C3" s="5"/>
      <c r="E3" s="7"/>
      <c r="F3" s="4"/>
      <c r="G3" s="3"/>
      <c r="H3" s="11"/>
    </row>
    <row r="4" spans="1:8" x14ac:dyDescent="0.2">
      <c r="A4" t="s">
        <v>317</v>
      </c>
      <c r="B4" s="5">
        <v>30</v>
      </c>
      <c r="C4" s="5" t="s">
        <v>318</v>
      </c>
      <c r="E4" s="7"/>
      <c r="F4" s="4"/>
      <c r="G4" s="3"/>
      <c r="H4" s="11"/>
    </row>
    <row r="5" spans="1:8" x14ac:dyDescent="0.2">
      <c r="A5" t="s">
        <v>319</v>
      </c>
      <c r="B5" s="5">
        <v>1340</v>
      </c>
      <c r="C5" s="5"/>
      <c r="E5" s="7"/>
      <c r="F5" s="4"/>
      <c r="G5" s="3"/>
      <c r="H5" s="11"/>
    </row>
    <row r="6" spans="1:8" ht="14.25" x14ac:dyDescent="0.2">
      <c r="A6" t="s">
        <v>320</v>
      </c>
      <c r="B6" s="5">
        <v>31578</v>
      </c>
      <c r="C6" s="5" t="s">
        <v>321</v>
      </c>
      <c r="E6" s="7"/>
      <c r="F6" s="4"/>
      <c r="G6" s="3"/>
      <c r="H6" s="11"/>
    </row>
    <row r="7" spans="1:8" x14ac:dyDescent="0.2">
      <c r="A7" t="s">
        <v>322</v>
      </c>
      <c r="B7" s="5">
        <v>12</v>
      </c>
      <c r="C7" s="5" t="s">
        <v>318</v>
      </c>
      <c r="E7" s="7"/>
      <c r="F7" s="4"/>
      <c r="G7" s="3"/>
      <c r="H7" s="11"/>
    </row>
    <row r="8" spans="1:8" x14ac:dyDescent="0.2">
      <c r="A8" t="s">
        <v>323</v>
      </c>
      <c r="B8" s="5">
        <v>40</v>
      </c>
      <c r="C8" s="5" t="s">
        <v>318</v>
      </c>
      <c r="E8" s="7"/>
      <c r="F8" s="4"/>
      <c r="G8" s="3"/>
      <c r="H8" s="11"/>
    </row>
    <row r="9" spans="1:8" x14ac:dyDescent="0.2">
      <c r="A9" t="s">
        <v>324</v>
      </c>
      <c r="B9" s="5">
        <v>13</v>
      </c>
      <c r="C9" s="5" t="s">
        <v>318</v>
      </c>
      <c r="E9" s="7"/>
      <c r="F9" s="4"/>
      <c r="G9" s="3"/>
      <c r="H9" s="11"/>
    </row>
    <row r="10" spans="1:8" x14ac:dyDescent="0.2">
      <c r="A10" s="6" t="s">
        <v>325</v>
      </c>
      <c r="B10" s="5">
        <v>18</v>
      </c>
      <c r="C10" s="5" t="s">
        <v>318</v>
      </c>
      <c r="E10" s="7"/>
      <c r="F10" s="4"/>
      <c r="G10" s="45"/>
      <c r="H10" s="45"/>
    </row>
    <row r="11" spans="1:8" ht="14.25" x14ac:dyDescent="0.2">
      <c r="A11" s="6" t="s">
        <v>326</v>
      </c>
      <c r="B11" s="5">
        <v>120</v>
      </c>
      <c r="C11" s="5" t="s">
        <v>321</v>
      </c>
      <c r="E11" s="7"/>
      <c r="F11" s="4"/>
      <c r="G11" s="5"/>
      <c r="H11" s="13"/>
    </row>
    <row r="12" spans="1:8" x14ac:dyDescent="0.2">
      <c r="A12" t="s">
        <v>327</v>
      </c>
      <c r="B12" s="5">
        <v>3</v>
      </c>
      <c r="C12" t="s">
        <v>328</v>
      </c>
    </row>
    <row r="13" spans="1:8" x14ac:dyDescent="0.2">
      <c r="H13" s="5"/>
    </row>
    <row r="14" spans="1:8" x14ac:dyDescent="0.2">
      <c r="A14" t="s">
        <v>329</v>
      </c>
      <c r="H14" s="5"/>
    </row>
    <row r="15" spans="1:8" x14ac:dyDescent="0.2">
      <c r="A15" t="s">
        <v>330</v>
      </c>
      <c r="H15" s="5"/>
    </row>
    <row r="16" spans="1:8" x14ac:dyDescent="0.2">
      <c r="A16" t="s">
        <v>331</v>
      </c>
      <c r="B16" t="s">
        <v>300</v>
      </c>
      <c r="C16" t="s">
        <v>332</v>
      </c>
    </row>
    <row r="17" spans="1:3" x14ac:dyDescent="0.2">
      <c r="A17" t="s">
        <v>333</v>
      </c>
      <c r="B17" t="s">
        <v>334</v>
      </c>
      <c r="C17" t="s">
        <v>335</v>
      </c>
    </row>
    <row r="19" spans="1:3" x14ac:dyDescent="0.2">
      <c r="A19" s="1" t="s">
        <v>336</v>
      </c>
    </row>
    <row r="20" spans="1:3" x14ac:dyDescent="0.2">
      <c r="A20" t="s">
        <v>337</v>
      </c>
      <c r="B20" s="5">
        <v>1</v>
      </c>
      <c r="C20" s="5"/>
    </row>
    <row r="21" spans="1:3" x14ac:dyDescent="0.2">
      <c r="A21" t="s">
        <v>317</v>
      </c>
      <c r="B21" s="5">
        <v>30</v>
      </c>
      <c r="C21" s="5" t="s">
        <v>318</v>
      </c>
    </row>
    <row r="22" spans="1:3" x14ac:dyDescent="0.2">
      <c r="A22" t="s">
        <v>338</v>
      </c>
      <c r="B22" s="5">
        <f>3*1340</f>
        <v>4020</v>
      </c>
      <c r="C22" s="5"/>
    </row>
    <row r="23" spans="1:3" ht="14.25" x14ac:dyDescent="0.2">
      <c r="A23" t="s">
        <v>339</v>
      </c>
      <c r="B23" s="5">
        <f>B22*B21*PI()*B28/2*B28/2</f>
        <v>94719.018505732267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323</v>
      </c>
      <c r="B25" s="5">
        <v>70</v>
      </c>
      <c r="C25" s="5" t="s">
        <v>318</v>
      </c>
    </row>
    <row r="26" spans="1:3" x14ac:dyDescent="0.2">
      <c r="A26" t="s">
        <v>324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13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341</v>
      </c>
      <c r="B30" t="s">
        <v>300</v>
      </c>
      <c r="C30" t="s">
        <v>342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H30"/>
  <sheetViews>
    <sheetView topLeftCell="A9" zoomScale="110" zoomScaleNormal="110" workbookViewId="0">
      <selection activeCell="B35" sqref="B35"/>
    </sheetView>
  </sheetViews>
  <sheetFormatPr defaultColWidth="11.5703125" defaultRowHeight="12.75" x14ac:dyDescent="0.2"/>
  <cols>
    <col min="1" max="1" width="32.42578125" customWidth="1"/>
    <col min="2" max="2" width="12.5703125" customWidth="1"/>
    <col min="3" max="3" width="10.42578125" customWidth="1"/>
    <col min="4" max="4" width="6.5703125" customWidth="1"/>
    <col min="5" max="5" width="6.140625" customWidth="1"/>
    <col min="6" max="7" width="6.42578125" customWidth="1"/>
    <col min="8" max="8" width="9.42578125" customWidth="1"/>
  </cols>
  <sheetData>
    <row r="1" spans="1:8" s="1" customFormat="1" x14ac:dyDescent="0.2">
      <c r="A1" s="1" t="s">
        <v>315</v>
      </c>
      <c r="B1" s="1" t="s">
        <v>245</v>
      </c>
      <c r="C1" s="1" t="s">
        <v>107</v>
      </c>
    </row>
    <row r="2" spans="1:8" x14ac:dyDescent="0.2">
      <c r="A2" s="1" t="s">
        <v>343</v>
      </c>
      <c r="C2" s="44"/>
      <c r="D2" s="44"/>
    </row>
    <row r="3" spans="1:8" x14ac:dyDescent="0.2">
      <c r="A3" t="s">
        <v>344</v>
      </c>
      <c r="B3" s="5">
        <v>5</v>
      </c>
      <c r="C3" s="5" t="s">
        <v>345</v>
      </c>
      <c r="E3" s="7"/>
      <c r="F3" s="4"/>
      <c r="G3" s="3"/>
      <c r="H3" s="11"/>
    </row>
    <row r="4" spans="1:8" x14ac:dyDescent="0.2">
      <c r="A4" t="s">
        <v>346</v>
      </c>
      <c r="B4" s="5">
        <v>5</v>
      </c>
      <c r="C4" s="5" t="s">
        <v>347</v>
      </c>
      <c r="E4" s="7"/>
      <c r="F4" s="4"/>
      <c r="G4" s="3"/>
      <c r="H4" s="11"/>
    </row>
    <row r="5" spans="1:8" x14ac:dyDescent="0.2">
      <c r="A5" t="s">
        <v>348</v>
      </c>
      <c r="B5" s="5">
        <v>25</v>
      </c>
      <c r="C5" s="5" t="s">
        <v>349</v>
      </c>
      <c r="E5" s="7"/>
      <c r="F5" s="4"/>
      <c r="G5" s="3"/>
      <c r="H5" s="11"/>
    </row>
    <row r="6" spans="1:8" x14ac:dyDescent="0.2">
      <c r="A6" t="s">
        <v>317</v>
      </c>
      <c r="B6" s="5">
        <v>10</v>
      </c>
      <c r="C6" s="5" t="s">
        <v>318</v>
      </c>
      <c r="E6" s="7"/>
      <c r="F6" s="4"/>
      <c r="G6" s="3"/>
      <c r="H6" s="11"/>
    </row>
    <row r="7" spans="1:8" x14ac:dyDescent="0.2">
      <c r="A7" t="s">
        <v>319</v>
      </c>
      <c r="B7" s="5">
        <v>1340</v>
      </c>
      <c r="C7" s="5"/>
      <c r="E7" s="7"/>
      <c r="F7" s="4"/>
      <c r="G7" s="3"/>
      <c r="H7" s="11"/>
    </row>
    <row r="8" spans="1:8" ht="14.25" x14ac:dyDescent="0.2">
      <c r="A8" t="s">
        <v>320</v>
      </c>
      <c r="B8" s="5">
        <f>31578/3</f>
        <v>10526</v>
      </c>
      <c r="C8" s="5" t="s">
        <v>321</v>
      </c>
      <c r="E8" s="7"/>
      <c r="F8" s="4"/>
      <c r="G8" s="3"/>
      <c r="H8" s="11"/>
    </row>
    <row r="9" spans="1:8" x14ac:dyDescent="0.2">
      <c r="A9" t="s">
        <v>322</v>
      </c>
      <c r="B9" s="5">
        <v>12</v>
      </c>
      <c r="C9" s="5" t="s">
        <v>318</v>
      </c>
      <c r="E9" s="7"/>
      <c r="F9" s="4"/>
      <c r="G9" s="3"/>
      <c r="H9" s="11"/>
    </row>
    <row r="10" spans="1:8" x14ac:dyDescent="0.2">
      <c r="A10" t="s">
        <v>350</v>
      </c>
      <c r="B10" s="5">
        <v>70</v>
      </c>
      <c r="C10" s="5" t="s">
        <v>318</v>
      </c>
      <c r="E10" s="7"/>
      <c r="F10" s="4"/>
      <c r="G10" s="3"/>
      <c r="H10" s="11"/>
    </row>
    <row r="11" spans="1:8" x14ac:dyDescent="0.2">
      <c r="A11" t="s">
        <v>351</v>
      </c>
      <c r="B11" s="5">
        <v>13</v>
      </c>
      <c r="C11" s="5" t="s">
        <v>318</v>
      </c>
      <c r="E11" s="7"/>
      <c r="F11" s="4"/>
      <c r="G11" s="3"/>
      <c r="H11" s="11"/>
    </row>
    <row r="12" spans="1:8" x14ac:dyDescent="0.2">
      <c r="A12" s="6" t="s">
        <v>340</v>
      </c>
      <c r="B12" s="5">
        <v>54</v>
      </c>
      <c r="C12" s="5" t="s">
        <v>318</v>
      </c>
      <c r="E12" s="7"/>
      <c r="F12" s="4"/>
      <c r="G12" s="45"/>
      <c r="H12" s="45"/>
    </row>
    <row r="13" spans="1:8" ht="14.25" x14ac:dyDescent="0.2">
      <c r="A13" s="6" t="s">
        <v>326</v>
      </c>
      <c r="B13" s="5">
        <f>B4*120</f>
        <v>600</v>
      </c>
      <c r="C13" s="5" t="s">
        <v>321</v>
      </c>
      <c r="E13" s="7"/>
      <c r="F13" s="4"/>
      <c r="G13" s="5"/>
      <c r="H13" s="13"/>
    </row>
    <row r="14" spans="1:8" x14ac:dyDescent="0.2">
      <c r="A14" t="s">
        <v>327</v>
      </c>
      <c r="B14" s="5">
        <v>3</v>
      </c>
      <c r="C14" t="s">
        <v>328</v>
      </c>
    </row>
    <row r="15" spans="1:8" x14ac:dyDescent="0.2">
      <c r="H15" s="5"/>
    </row>
    <row r="16" spans="1:8" x14ac:dyDescent="0.2">
      <c r="A16" t="s">
        <v>352</v>
      </c>
      <c r="B16" t="s">
        <v>300</v>
      </c>
      <c r="C16" t="s">
        <v>332</v>
      </c>
    </row>
    <row r="17" spans="1:3" x14ac:dyDescent="0.2">
      <c r="A17" t="s">
        <v>333</v>
      </c>
      <c r="B17" t="s">
        <v>334</v>
      </c>
      <c r="C17" t="s">
        <v>335</v>
      </c>
    </row>
    <row r="19" spans="1:3" x14ac:dyDescent="0.2">
      <c r="A19" s="1" t="s">
        <v>353</v>
      </c>
    </row>
    <row r="20" spans="1:3" x14ac:dyDescent="0.2">
      <c r="A20" t="s">
        <v>337</v>
      </c>
      <c r="B20" s="5">
        <v>2</v>
      </c>
      <c r="C20" s="5"/>
    </row>
    <row r="21" spans="1:3" x14ac:dyDescent="0.2">
      <c r="A21" t="s">
        <v>354</v>
      </c>
      <c r="B21" s="5">
        <v>60</v>
      </c>
      <c r="C21" s="5" t="s">
        <v>318</v>
      </c>
    </row>
    <row r="22" spans="1:3" x14ac:dyDescent="0.2">
      <c r="A22" t="s">
        <v>338</v>
      </c>
      <c r="B22" s="5">
        <v>1340</v>
      </c>
      <c r="C22" s="5"/>
    </row>
    <row r="23" spans="1:3" ht="14.25" x14ac:dyDescent="0.2">
      <c r="A23" t="s">
        <v>355</v>
      </c>
      <c r="B23" s="5">
        <f>B21*B22*PI()*B28/2*B28/2</f>
        <v>63146.01233715484</v>
      </c>
      <c r="C23" s="5" t="s">
        <v>321</v>
      </c>
    </row>
    <row r="24" spans="1:3" x14ac:dyDescent="0.2">
      <c r="A24" t="s">
        <v>322</v>
      </c>
      <c r="B24" s="5">
        <v>12</v>
      </c>
      <c r="C24" s="5" t="s">
        <v>318</v>
      </c>
    </row>
    <row r="25" spans="1:3" x14ac:dyDescent="0.2">
      <c r="A25" t="s">
        <v>350</v>
      </c>
      <c r="B25" s="5">
        <v>70</v>
      </c>
      <c r="C25" s="5" t="s">
        <v>318</v>
      </c>
    </row>
    <row r="26" spans="1:3" x14ac:dyDescent="0.2">
      <c r="A26" t="s">
        <v>351</v>
      </c>
      <c r="B26" s="5">
        <v>13</v>
      </c>
      <c r="C26" s="5" t="s">
        <v>318</v>
      </c>
    </row>
    <row r="27" spans="1:3" x14ac:dyDescent="0.2">
      <c r="A27" s="6" t="s">
        <v>340</v>
      </c>
      <c r="B27" s="5">
        <v>54</v>
      </c>
      <c r="C27" s="5" t="s">
        <v>318</v>
      </c>
    </row>
    <row r="28" spans="1:3" x14ac:dyDescent="0.2">
      <c r="A28" t="s">
        <v>327</v>
      </c>
      <c r="B28" s="5">
        <v>1</v>
      </c>
      <c r="C28" t="s">
        <v>241</v>
      </c>
    </row>
    <row r="30" spans="1:3" x14ac:dyDescent="0.2">
      <c r="A30" t="s">
        <v>356</v>
      </c>
      <c r="B30" t="s">
        <v>300</v>
      </c>
      <c r="C30" t="s">
        <v>342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C18"/>
  <sheetViews>
    <sheetView zoomScale="110" zoomScaleNormal="110" workbookViewId="0">
      <selection activeCell="E10" sqref="E10"/>
    </sheetView>
  </sheetViews>
  <sheetFormatPr defaultColWidth="11.5703125" defaultRowHeight="12.75" x14ac:dyDescent="0.2"/>
  <cols>
    <col min="1" max="1" width="56.5703125" customWidth="1"/>
    <col min="2" max="2" width="18.5703125" style="10" customWidth="1"/>
    <col min="3" max="3" width="13.42578125" customWidth="1"/>
  </cols>
  <sheetData>
    <row r="1" spans="1:3" x14ac:dyDescent="0.2">
      <c r="A1" s="1" t="s">
        <v>602</v>
      </c>
    </row>
    <row r="2" spans="1:3" x14ac:dyDescent="0.2">
      <c r="A2" t="s">
        <v>603</v>
      </c>
      <c r="B2" s="10">
        <f>'SGSP Section Cost low evap.'!D41+'SGSP Section Cost low evap.'!C41</f>
        <v>105962068.79796262</v>
      </c>
    </row>
    <row r="3" spans="1:3" x14ac:dyDescent="0.2">
      <c r="A3" t="s">
        <v>604</v>
      </c>
      <c r="B3" s="8">
        <f>'SGSP Section Cost low evap.'!E48/1000</f>
        <v>9.3762000000000008</v>
      </c>
      <c r="C3" t="s">
        <v>202</v>
      </c>
    </row>
    <row r="4" spans="1:3" x14ac:dyDescent="0.2">
      <c r="A4" t="s">
        <v>749</v>
      </c>
      <c r="B4" s="11">
        <f>B3*24*365</f>
        <v>82135.512000000002</v>
      </c>
      <c r="C4" t="s">
        <v>605</v>
      </c>
    </row>
    <row r="5" spans="1:3" x14ac:dyDescent="0.2">
      <c r="A5" t="s">
        <v>606</v>
      </c>
      <c r="B5" s="10">
        <v>85</v>
      </c>
      <c r="C5" t="s">
        <v>550</v>
      </c>
    </row>
    <row r="6" spans="1:3" x14ac:dyDescent="0.2">
      <c r="A6" t="s">
        <v>607</v>
      </c>
      <c r="B6" s="10">
        <f>B4*B5</f>
        <v>6981518.5200000005</v>
      </c>
    </row>
    <row r="7" spans="1:3" x14ac:dyDescent="0.2">
      <c r="A7" t="s">
        <v>663</v>
      </c>
      <c r="B7" s="10">
        <v>0</v>
      </c>
      <c r="C7" t="s">
        <v>608</v>
      </c>
    </row>
    <row r="8" spans="1:3" x14ac:dyDescent="0.2">
      <c r="A8" t="s">
        <v>643</v>
      </c>
      <c r="B8" s="10">
        <v>0</v>
      </c>
    </row>
    <row r="9" spans="1:3" x14ac:dyDescent="0.2">
      <c r="A9" t="s">
        <v>609</v>
      </c>
      <c r="B9" s="10">
        <f>'SGSP Section Cost low evap.'!E41</f>
        <v>2472183.6299434057</v>
      </c>
    </row>
    <row r="10" spans="1:3" x14ac:dyDescent="0.2">
      <c r="A10" t="s">
        <v>610</v>
      </c>
      <c r="B10" s="10">
        <f>B6-B9</f>
        <v>4509334.8900565952</v>
      </c>
    </row>
    <row r="11" spans="1:3" x14ac:dyDescent="0.2">
      <c r="A11" t="s">
        <v>611</v>
      </c>
      <c r="B11" s="3">
        <v>25</v>
      </c>
      <c r="C11" t="s">
        <v>112</v>
      </c>
    </row>
    <row r="12" spans="1:3" x14ac:dyDescent="0.2">
      <c r="A12" t="s">
        <v>612</v>
      </c>
      <c r="B12" s="10">
        <f>B10*B11</f>
        <v>112733372.25141488</v>
      </c>
    </row>
    <row r="13" spans="1:3" x14ac:dyDescent="0.2">
      <c r="A13" t="s">
        <v>613</v>
      </c>
      <c r="B13" s="9">
        <f>(B12-B2)/(B11+2)/B2</f>
        <v>2.3667810532531819E-3</v>
      </c>
    </row>
    <row r="15" spans="1:3" x14ac:dyDescent="0.2">
      <c r="A15" s="1" t="s">
        <v>614</v>
      </c>
    </row>
    <row r="16" spans="1:3" x14ac:dyDescent="0.2">
      <c r="A16" t="s">
        <v>615</v>
      </c>
      <c r="B16" s="10">
        <v>8.9872999999999994</v>
      </c>
      <c r="C16" t="s">
        <v>550</v>
      </c>
    </row>
    <row r="17" spans="1:3" x14ac:dyDescent="0.2">
      <c r="A17" t="s">
        <v>616</v>
      </c>
      <c r="B17" s="10">
        <v>1096</v>
      </c>
      <c r="C17" t="s">
        <v>617</v>
      </c>
    </row>
    <row r="18" spans="1:3" x14ac:dyDescent="0.2">
      <c r="A18" t="s">
        <v>618</v>
      </c>
      <c r="B18" s="10">
        <f>B17*12/365/24</f>
        <v>1.5013698630136985</v>
      </c>
      <c r="C18" t="s">
        <v>550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L57"/>
  <sheetViews>
    <sheetView topLeftCell="A34" zoomScale="110" zoomScaleNormal="110" workbookViewId="0">
      <selection activeCell="C54" sqref="C54"/>
    </sheetView>
  </sheetViews>
  <sheetFormatPr defaultRowHeight="12.75" x14ac:dyDescent="0.2"/>
  <cols>
    <col min="1" max="1" width="36.140625" customWidth="1"/>
    <col min="2" max="2" width="8.28515625" customWidth="1"/>
    <col min="3" max="3" width="11.42578125" customWidth="1"/>
    <col min="4" max="4" width="15.42578125" customWidth="1"/>
    <col min="5" max="5" width="12.5703125" customWidth="1"/>
    <col min="6" max="6" width="17.5703125" customWidth="1"/>
    <col min="8" max="11" width="21.5703125" customWidth="1"/>
    <col min="12" max="12" width="12.140625" customWidth="1"/>
  </cols>
  <sheetData>
    <row r="1" spans="1:12" s="1" customFormat="1" x14ac:dyDescent="0.2">
      <c r="A1" s="92" t="s">
        <v>315</v>
      </c>
      <c r="B1" s="92"/>
      <c r="C1" s="92" t="s">
        <v>551</v>
      </c>
      <c r="D1" s="92" t="s">
        <v>552</v>
      </c>
      <c r="E1" s="92" t="s">
        <v>553</v>
      </c>
      <c r="F1" s="92" t="s">
        <v>554</v>
      </c>
    </row>
    <row r="2" spans="1:12" ht="13.5" customHeight="1" x14ac:dyDescent="0.2">
      <c r="A2" s="93" t="s">
        <v>555</v>
      </c>
      <c r="B2" s="93"/>
      <c r="C2" s="94">
        <v>100000</v>
      </c>
      <c r="D2" s="94">
        <v>100000</v>
      </c>
      <c r="E2" s="94">
        <v>0</v>
      </c>
      <c r="F2" s="95">
        <f t="shared" ref="F2:F41" si="0">SUM(C2:D2)+30*E2</f>
        <v>200000</v>
      </c>
      <c r="H2" t="s">
        <v>556</v>
      </c>
      <c r="I2" s="59">
        <f>SUM(C2:C10)</f>
        <v>660000</v>
      </c>
      <c r="J2" s="59">
        <f>SUM(D2:D10)</f>
        <v>518333.33333333337</v>
      </c>
      <c r="K2" s="59">
        <f>SUM(E2:E10)</f>
        <v>1110000</v>
      </c>
      <c r="L2" s="59">
        <f>SUM(F2:F10)</f>
        <v>34478333.333333328</v>
      </c>
    </row>
    <row r="3" spans="1:12" ht="13.5" customHeight="1" x14ac:dyDescent="0.2">
      <c r="A3" s="93" t="s">
        <v>557</v>
      </c>
      <c r="B3" s="93"/>
      <c r="C3" s="94">
        <v>150000</v>
      </c>
      <c r="D3" s="94">
        <v>75000</v>
      </c>
      <c r="E3" s="94">
        <v>0</v>
      </c>
      <c r="F3" s="95">
        <f t="shared" si="0"/>
        <v>225000</v>
      </c>
    </row>
    <row r="4" spans="1:12" ht="13.5" customHeight="1" x14ac:dyDescent="0.2">
      <c r="A4" s="93" t="s">
        <v>53</v>
      </c>
      <c r="B4" s="93"/>
      <c r="C4" s="94">
        <v>150000</v>
      </c>
      <c r="D4" s="94">
        <v>75000</v>
      </c>
      <c r="E4" s="94">
        <v>0</v>
      </c>
      <c r="F4" s="95">
        <f t="shared" si="0"/>
        <v>225000</v>
      </c>
    </row>
    <row r="5" spans="1:12" ht="13.5" customHeight="1" x14ac:dyDescent="0.2">
      <c r="A5" s="93" t="s">
        <v>52</v>
      </c>
      <c r="B5" s="93"/>
      <c r="C5" s="94">
        <v>150000</v>
      </c>
      <c r="D5" s="94">
        <v>75000</v>
      </c>
      <c r="E5" s="94">
        <v>0</v>
      </c>
      <c r="F5" s="95">
        <f t="shared" si="0"/>
        <v>225000</v>
      </c>
    </row>
    <row r="6" spans="1:12" x14ac:dyDescent="0.2">
      <c r="A6" s="93" t="s">
        <v>558</v>
      </c>
      <c r="B6" s="93"/>
      <c r="C6" s="94">
        <v>100000</v>
      </c>
      <c r="D6" s="94">
        <v>100000</v>
      </c>
      <c r="E6" s="94">
        <v>100000</v>
      </c>
      <c r="F6" s="95">
        <f t="shared" si="0"/>
        <v>3200000</v>
      </c>
    </row>
    <row r="7" spans="1:12" x14ac:dyDescent="0.2">
      <c r="A7" s="93" t="s">
        <v>559</v>
      </c>
      <c r="B7" s="93"/>
      <c r="C7" s="94">
        <v>0</v>
      </c>
      <c r="D7" s="94">
        <f>E7/12</f>
        <v>40000</v>
      </c>
      <c r="E7" s="94">
        <f>60000*8</f>
        <v>480000</v>
      </c>
      <c r="F7" s="95">
        <f t="shared" si="0"/>
        <v>14440000</v>
      </c>
    </row>
    <row r="8" spans="1:12" x14ac:dyDescent="0.2">
      <c r="A8" s="93" t="s">
        <v>560</v>
      </c>
      <c r="B8" s="93"/>
      <c r="C8" s="94">
        <v>0</v>
      </c>
      <c r="D8" s="94">
        <f>E8/12</f>
        <v>26666.666666666668</v>
      </c>
      <c r="E8" s="94">
        <f>80000*4</f>
        <v>320000</v>
      </c>
      <c r="F8" s="95">
        <f t="shared" si="0"/>
        <v>9626666.666666666</v>
      </c>
    </row>
    <row r="9" spans="1:12" x14ac:dyDescent="0.2">
      <c r="A9" s="93" t="s">
        <v>561</v>
      </c>
      <c r="B9" s="93"/>
      <c r="C9" s="94">
        <v>0</v>
      </c>
      <c r="D9" s="94">
        <f>E9/12</f>
        <v>16666.666666666668</v>
      </c>
      <c r="E9" s="94">
        <f>50000*4</f>
        <v>200000</v>
      </c>
      <c r="F9" s="95">
        <f t="shared" si="0"/>
        <v>6016666.666666667</v>
      </c>
    </row>
    <row r="10" spans="1:12" x14ac:dyDescent="0.2">
      <c r="A10" s="93" t="s">
        <v>562</v>
      </c>
      <c r="B10" s="93"/>
      <c r="C10" s="94">
        <v>10000</v>
      </c>
      <c r="D10" s="94">
        <v>10000</v>
      </c>
      <c r="E10" s="94">
        <v>10000</v>
      </c>
      <c r="F10" s="95">
        <f t="shared" si="0"/>
        <v>320000</v>
      </c>
    </row>
    <row r="11" spans="1:12" x14ac:dyDescent="0.2">
      <c r="A11" s="93" t="s">
        <v>563</v>
      </c>
      <c r="B11" s="93"/>
      <c r="C11" s="94">
        <v>100000</v>
      </c>
      <c r="D11" s="94">
        <v>50000</v>
      </c>
      <c r="E11" s="94">
        <v>1000</v>
      </c>
      <c r="F11" s="95">
        <f t="shared" si="0"/>
        <v>180000</v>
      </c>
      <c r="H11" t="s">
        <v>564</v>
      </c>
      <c r="I11" s="59">
        <f>SUM(C11:C13)</f>
        <v>140000</v>
      </c>
      <c r="J11" s="59">
        <f>SUM(D11:D13)</f>
        <v>200000</v>
      </c>
      <c r="K11" s="59">
        <f>SUM(E11:E13)</f>
        <v>151000</v>
      </c>
      <c r="L11" s="59">
        <f>SUM(F11:F13)</f>
        <v>4870000</v>
      </c>
    </row>
    <row r="12" spans="1:12" x14ac:dyDescent="0.2">
      <c r="A12" s="93" t="s">
        <v>565</v>
      </c>
      <c r="B12" s="93"/>
      <c r="C12" s="94">
        <v>0</v>
      </c>
      <c r="D12" s="94">
        <v>110000</v>
      </c>
      <c r="E12" s="94">
        <v>110000</v>
      </c>
      <c r="F12" s="95">
        <f t="shared" si="0"/>
        <v>3410000</v>
      </c>
    </row>
    <row r="13" spans="1:12" x14ac:dyDescent="0.2">
      <c r="A13" s="93" t="s">
        <v>566</v>
      </c>
      <c r="B13" s="93"/>
      <c r="C13" s="94">
        <v>40000</v>
      </c>
      <c r="D13" s="94">
        <v>40000</v>
      </c>
      <c r="E13" s="94">
        <v>40000</v>
      </c>
      <c r="F13" s="95">
        <f t="shared" si="0"/>
        <v>1280000</v>
      </c>
    </row>
    <row r="14" spans="1:12" x14ac:dyDescent="0.2">
      <c r="A14" s="93" t="s">
        <v>567</v>
      </c>
      <c r="B14" s="93"/>
      <c r="C14" s="94">
        <v>0</v>
      </c>
      <c r="D14" s="94">
        <v>356800</v>
      </c>
      <c r="E14" s="94">
        <v>0</v>
      </c>
      <c r="F14" s="95">
        <f t="shared" si="0"/>
        <v>356800</v>
      </c>
      <c r="H14" t="s">
        <v>568</v>
      </c>
      <c r="I14" s="59">
        <f>SUM(C14:C25)</f>
        <v>0</v>
      </c>
      <c r="J14" s="59">
        <f>SUM(D14:D25)</f>
        <v>31733456</v>
      </c>
      <c r="K14" s="59">
        <f>SUM(E14:E25)</f>
        <v>260536.95999999999</v>
      </c>
      <c r="L14" s="59">
        <f>SUM(F14:F25)</f>
        <v>39549564.799999997</v>
      </c>
    </row>
    <row r="15" spans="1:12" x14ac:dyDescent="0.2">
      <c r="A15" s="93" t="s">
        <v>569</v>
      </c>
      <c r="B15" s="93"/>
      <c r="C15" s="94">
        <v>0</v>
      </c>
      <c r="D15" s="94">
        <v>80000</v>
      </c>
      <c r="E15" s="94">
        <f>0.03*D15</f>
        <v>2400</v>
      </c>
      <c r="F15" s="95">
        <f t="shared" si="0"/>
        <v>152000</v>
      </c>
    </row>
    <row r="16" spans="1:12" x14ac:dyDescent="0.2">
      <c r="A16" s="93" t="s">
        <v>570</v>
      </c>
      <c r="B16" s="93"/>
      <c r="C16" s="94">
        <v>0</v>
      </c>
      <c r="D16" s="94">
        <v>6400000</v>
      </c>
      <c r="E16" s="94">
        <v>0</v>
      </c>
      <c r="F16" s="95">
        <f t="shared" si="0"/>
        <v>6400000</v>
      </c>
    </row>
    <row r="17" spans="1:12" x14ac:dyDescent="0.2">
      <c r="A17" s="93" t="s">
        <v>571</v>
      </c>
      <c r="B17" s="93"/>
      <c r="C17" s="94">
        <v>0</v>
      </c>
      <c r="D17" s="94">
        <v>15469696</v>
      </c>
      <c r="E17" s="94">
        <f>0.01*D17</f>
        <v>154696.95999999999</v>
      </c>
      <c r="F17" s="95">
        <f t="shared" si="0"/>
        <v>20110604.800000001</v>
      </c>
      <c r="H17" s="5">
        <f xml:space="preserve"> SUM(D16:D19) / 640</f>
        <v>36638.525000000001</v>
      </c>
    </row>
    <row r="18" spans="1:12" x14ac:dyDescent="0.2">
      <c r="A18" s="93" t="s">
        <v>572</v>
      </c>
      <c r="B18" s="93"/>
      <c r="C18" s="94">
        <v>0</v>
      </c>
      <c r="D18" s="94">
        <v>160000</v>
      </c>
      <c r="E18" s="94">
        <v>0</v>
      </c>
      <c r="F18" s="95">
        <f t="shared" si="0"/>
        <v>160000</v>
      </c>
    </row>
    <row r="19" spans="1:12" x14ac:dyDescent="0.2">
      <c r="A19" s="93" t="s">
        <v>573</v>
      </c>
      <c r="B19" s="93"/>
      <c r="C19" s="94">
        <v>0</v>
      </c>
      <c r="D19" s="94">
        <v>1418960</v>
      </c>
      <c r="E19" s="94">
        <v>0</v>
      </c>
      <c r="F19" s="95">
        <f t="shared" si="0"/>
        <v>1418960</v>
      </c>
    </row>
    <row r="20" spans="1:12" x14ac:dyDescent="0.2">
      <c r="A20" s="93" t="s">
        <v>574</v>
      </c>
      <c r="B20" s="93"/>
      <c r="C20" s="94">
        <v>0</v>
      </c>
      <c r="D20" s="94">
        <v>320000</v>
      </c>
      <c r="E20" s="94">
        <v>0</v>
      </c>
      <c r="F20" s="95">
        <f t="shared" si="0"/>
        <v>320000</v>
      </c>
    </row>
    <row r="21" spans="1:12" x14ac:dyDescent="0.2">
      <c r="A21" s="93" t="s">
        <v>575</v>
      </c>
      <c r="B21" s="93"/>
      <c r="C21" s="94">
        <v>0</v>
      </c>
      <c r="D21" s="94">
        <v>640000</v>
      </c>
      <c r="E21" s="94">
        <v>0</v>
      </c>
      <c r="F21" s="95">
        <f t="shared" si="0"/>
        <v>640000</v>
      </c>
    </row>
    <row r="22" spans="1:12" x14ac:dyDescent="0.2">
      <c r="A22" s="93" t="s">
        <v>576</v>
      </c>
      <c r="B22" s="93"/>
      <c r="C22" s="94">
        <v>0</v>
      </c>
      <c r="D22" s="94">
        <v>40000</v>
      </c>
      <c r="E22" s="94">
        <v>10000</v>
      </c>
      <c r="F22" s="95">
        <f t="shared" si="0"/>
        <v>340000</v>
      </c>
    </row>
    <row r="23" spans="1:12" x14ac:dyDescent="0.2">
      <c r="A23" s="93" t="s">
        <v>577</v>
      </c>
      <c r="B23" s="93"/>
      <c r="C23" s="94">
        <v>0</v>
      </c>
      <c r="D23" s="94">
        <v>1600000</v>
      </c>
      <c r="E23" s="94">
        <v>0</v>
      </c>
      <c r="F23" s="95">
        <f t="shared" si="0"/>
        <v>1600000</v>
      </c>
    </row>
    <row r="24" spans="1:12" x14ac:dyDescent="0.2">
      <c r="A24" s="93" t="s">
        <v>578</v>
      </c>
      <c r="B24" s="93"/>
      <c r="C24" s="94">
        <v>0</v>
      </c>
      <c r="D24" s="94">
        <v>3200000</v>
      </c>
      <c r="E24" s="94">
        <f>0.01*D24</f>
        <v>32000</v>
      </c>
      <c r="F24" s="95">
        <f t="shared" si="0"/>
        <v>4160000</v>
      </c>
    </row>
    <row r="25" spans="1:12" x14ac:dyDescent="0.2">
      <c r="A25" s="93" t="s">
        <v>579</v>
      </c>
      <c r="B25" s="93"/>
      <c r="C25" s="94">
        <v>0</v>
      </c>
      <c r="D25" s="94">
        <v>2048000</v>
      </c>
      <c r="E25" s="94">
        <f>0.03*D25</f>
        <v>61440</v>
      </c>
      <c r="F25" s="95">
        <f t="shared" si="0"/>
        <v>3891200</v>
      </c>
    </row>
    <row r="26" spans="1:12" x14ac:dyDescent="0.2">
      <c r="A26" s="93" t="s">
        <v>639</v>
      </c>
      <c r="B26" s="93"/>
      <c r="C26" s="94">
        <v>0</v>
      </c>
      <c r="D26" s="94">
        <f xml:space="preserve"> (1-B47) *1620800*10</f>
        <v>12156000</v>
      </c>
      <c r="E26" s="94">
        <f>0.03*D26</f>
        <v>364680</v>
      </c>
      <c r="F26" s="95">
        <f t="shared" si="0"/>
        <v>23096400</v>
      </c>
      <c r="H26" t="s">
        <v>580</v>
      </c>
      <c r="I26" s="59">
        <f>SUM(C26:C27)</f>
        <v>0</v>
      </c>
      <c r="J26" s="59">
        <f>SUM(D26:D27)</f>
        <v>14556000</v>
      </c>
      <c r="K26" s="59">
        <f>SUM(E26:E27)</f>
        <v>388680</v>
      </c>
      <c r="L26" s="59">
        <f>SUM(F26:F27)</f>
        <v>26216400</v>
      </c>
    </row>
    <row r="27" spans="1:12" x14ac:dyDescent="0.2">
      <c r="A27" s="93" t="s">
        <v>640</v>
      </c>
      <c r="B27" s="93"/>
      <c r="C27" s="94">
        <v>0</v>
      </c>
      <c r="D27" s="94">
        <f xml:space="preserve"> (1-B47) * 3200000</f>
        <v>2400000</v>
      </c>
      <c r="E27" s="94">
        <f>0.01*D27</f>
        <v>24000</v>
      </c>
      <c r="F27" s="95">
        <f t="shared" si="0"/>
        <v>3120000</v>
      </c>
    </row>
    <row r="28" spans="1:12" x14ac:dyDescent="0.2">
      <c r="A28" s="93" t="s">
        <v>581</v>
      </c>
      <c r="C28" s="94">
        <v>0</v>
      </c>
      <c r="D28" s="94">
        <f>0.5*2462650</f>
        <v>1231325</v>
      </c>
      <c r="E28" s="94">
        <f>0.03*D28</f>
        <v>36939.75</v>
      </c>
      <c r="F28" s="95">
        <f t="shared" si="0"/>
        <v>2339517.5</v>
      </c>
      <c r="H28" t="s">
        <v>582</v>
      </c>
      <c r="I28" s="59">
        <f>SUM(C28:C32)</f>
        <v>0</v>
      </c>
      <c r="J28" s="59">
        <f>SUM(D28:D32)</f>
        <v>7700837.3314468618</v>
      </c>
      <c r="K28" s="59">
        <f>SUM(E28:E32)</f>
        <v>499326.66994340584</v>
      </c>
      <c r="L28" s="59">
        <f>SUM(F28:F32)</f>
        <v>22680637.429749038</v>
      </c>
    </row>
    <row r="29" spans="1:12" x14ac:dyDescent="0.2">
      <c r="A29" s="93" t="s">
        <v>658</v>
      </c>
      <c r="C29" s="94">
        <v>0</v>
      </c>
      <c r="D29" s="94">
        <f xml:space="preserve"> B47 * '5MGD 15 Effect Levellized VTE'!B3</f>
        <v>6342397.3314468618</v>
      </c>
      <c r="E29" s="94">
        <f>0.03*D29</f>
        <v>190271.91994340584</v>
      </c>
      <c r="F29" s="95">
        <f>SUM(C29:D29)+30*E29</f>
        <v>12050554.929749038</v>
      </c>
    </row>
    <row r="30" spans="1:12" x14ac:dyDescent="0.2">
      <c r="A30" s="93" t="s">
        <v>583</v>
      </c>
      <c r="C30" s="94">
        <v>0</v>
      </c>
      <c r="D30" s="94">
        <f>0.5*120000</f>
        <v>60000</v>
      </c>
      <c r="E30" s="94">
        <f>0.5*240000</f>
        <v>120000</v>
      </c>
      <c r="F30" s="95">
        <f t="shared" si="0"/>
        <v>3660000</v>
      </c>
    </row>
    <row r="31" spans="1:12" x14ac:dyDescent="0.2">
      <c r="A31" s="93" t="s">
        <v>584</v>
      </c>
      <c r="C31" s="94">
        <v>0</v>
      </c>
      <c r="D31" s="94">
        <v>67115</v>
      </c>
      <c r="E31" s="94">
        <v>67115</v>
      </c>
      <c r="F31" s="95">
        <f t="shared" si="0"/>
        <v>2080565</v>
      </c>
    </row>
    <row r="32" spans="1:12" x14ac:dyDescent="0.2">
      <c r="A32" s="93" t="s">
        <v>650</v>
      </c>
      <c r="B32" s="96">
        <f>0.5*G48*(68/12)</f>
        <v>1700</v>
      </c>
      <c r="C32" s="94">
        <v>0</v>
      </c>
      <c r="D32" s="94">
        <v>0</v>
      </c>
      <c r="E32" s="94">
        <f>$B32*50</f>
        <v>85000</v>
      </c>
      <c r="F32" s="95">
        <f t="shared" si="0"/>
        <v>2550000</v>
      </c>
    </row>
    <row r="33" spans="1:12" x14ac:dyDescent="0.2">
      <c r="A33" s="93" t="s">
        <v>641</v>
      </c>
      <c r="B33" s="93"/>
      <c r="C33" s="94">
        <v>0</v>
      </c>
      <c r="D33" s="94">
        <v>40256000</v>
      </c>
      <c r="E33" s="94">
        <v>0</v>
      </c>
      <c r="F33" s="95">
        <f t="shared" si="0"/>
        <v>40256000</v>
      </c>
      <c r="H33" t="s">
        <v>585</v>
      </c>
      <c r="I33" s="59">
        <f>SUM(C33:C35)</f>
        <v>0</v>
      </c>
      <c r="J33" s="59">
        <f>SUM(D33:D35)</f>
        <v>42214000</v>
      </c>
      <c r="K33" s="59">
        <f>SUM(E33:E35)</f>
        <v>0</v>
      </c>
      <c r="L33" s="59">
        <f>SUM(F33:F35)</f>
        <v>42214000</v>
      </c>
    </row>
    <row r="34" spans="1:12" x14ac:dyDescent="0.2">
      <c r="A34" s="93" t="s">
        <v>642</v>
      </c>
      <c r="B34" s="93"/>
      <c r="C34" s="94">
        <v>0</v>
      </c>
      <c r="D34" s="94">
        <v>1600000</v>
      </c>
      <c r="E34" s="94">
        <v>0</v>
      </c>
      <c r="F34" s="95">
        <f t="shared" si="0"/>
        <v>1600000</v>
      </c>
    </row>
    <row r="35" spans="1:12" x14ac:dyDescent="0.2">
      <c r="A35" s="93" t="s">
        <v>586</v>
      </c>
      <c r="B35" s="93"/>
      <c r="C35" s="94">
        <v>0</v>
      </c>
      <c r="D35" s="94">
        <v>358000</v>
      </c>
      <c r="E35" s="94">
        <v>0</v>
      </c>
      <c r="F35" s="95">
        <f t="shared" si="0"/>
        <v>358000</v>
      </c>
    </row>
    <row r="36" spans="1:12" x14ac:dyDescent="0.2">
      <c r="A36" s="93" t="s">
        <v>587</v>
      </c>
      <c r="B36" s="93"/>
      <c r="C36" s="94">
        <v>0</v>
      </c>
      <c r="D36" s="94">
        <v>128000</v>
      </c>
      <c r="E36" s="94">
        <f>0.03*D36</f>
        <v>3840</v>
      </c>
      <c r="F36" s="95">
        <f t="shared" si="0"/>
        <v>243200</v>
      </c>
      <c r="H36" t="s">
        <v>588</v>
      </c>
      <c r="I36" s="59">
        <f>SUM(C36:C39)</f>
        <v>13600</v>
      </c>
      <c r="J36" s="59">
        <f>SUM(D36:D39)</f>
        <v>376800</v>
      </c>
      <c r="K36" s="59">
        <f>SUM(E36:E39)</f>
        <v>62640</v>
      </c>
      <c r="L36" s="59">
        <f>SUM(F36:F39)</f>
        <v>2269600</v>
      </c>
    </row>
    <row r="37" spans="1:12" x14ac:dyDescent="0.2">
      <c r="A37" s="93" t="s">
        <v>589</v>
      </c>
      <c r="B37" s="93"/>
      <c r="C37" s="94">
        <v>10000</v>
      </c>
      <c r="D37" s="94">
        <v>120000</v>
      </c>
      <c r="E37" s="94">
        <v>10000</v>
      </c>
      <c r="F37" s="95">
        <f t="shared" si="0"/>
        <v>430000</v>
      </c>
    </row>
    <row r="38" spans="1:12" x14ac:dyDescent="0.2">
      <c r="A38" s="93" t="s">
        <v>590</v>
      </c>
      <c r="B38" s="93"/>
      <c r="C38" s="94">
        <v>0</v>
      </c>
      <c r="D38" s="94">
        <v>100000</v>
      </c>
      <c r="E38" s="94">
        <v>20000</v>
      </c>
      <c r="F38" s="95">
        <f t="shared" si="0"/>
        <v>700000</v>
      </c>
    </row>
    <row r="39" spans="1:12" x14ac:dyDescent="0.2">
      <c r="A39" s="93" t="s">
        <v>591</v>
      </c>
      <c r="B39" s="93"/>
      <c r="C39" s="94">
        <v>3600</v>
      </c>
      <c r="D39" s="94">
        <v>28800</v>
      </c>
      <c r="E39" s="94">
        <v>28800</v>
      </c>
      <c r="F39" s="95">
        <f t="shared" si="0"/>
        <v>896400</v>
      </c>
    </row>
    <row r="40" spans="1:12" x14ac:dyDescent="0.2">
      <c r="A40" s="93" t="s">
        <v>592</v>
      </c>
      <c r="B40" s="93"/>
      <c r="C40" s="94">
        <f>0.08*SUM(C2:C39)</f>
        <v>65088</v>
      </c>
      <c r="D40" s="94">
        <f>0.08*SUM(D2:D39)</f>
        <v>7783954.1331824157</v>
      </c>
      <c r="E40" s="94"/>
      <c r="F40" s="95">
        <f t="shared" si="0"/>
        <v>7849042.1331824157</v>
      </c>
      <c r="H40" t="s">
        <v>592</v>
      </c>
      <c r="I40" s="59">
        <f>SUM(C40)</f>
        <v>65088</v>
      </c>
      <c r="J40" s="59">
        <f>SUM(D40)</f>
        <v>7783954.1331824157</v>
      </c>
      <c r="K40" s="59">
        <f>SUM(E40)</f>
        <v>0</v>
      </c>
      <c r="L40" s="59">
        <f>SUM(F40)</f>
        <v>7849042.1331824157</v>
      </c>
    </row>
    <row r="41" spans="1:12" x14ac:dyDescent="0.2">
      <c r="A41" s="93" t="s">
        <v>593</v>
      </c>
      <c r="B41" s="93"/>
      <c r="C41" s="95">
        <f>SUM(C2:C40)</f>
        <v>878688</v>
      </c>
      <c r="D41" s="95">
        <f>SUM(D2:D40)</f>
        <v>105083380.79796262</v>
      </c>
      <c r="E41" s="95">
        <f>SUM(E2:E40)</f>
        <v>2472183.6299434057</v>
      </c>
      <c r="F41" s="95">
        <f t="shared" si="0"/>
        <v>180127577.6962648</v>
      </c>
      <c r="H41" s="97">
        <f>SUM(C41:D41)+30*E41</f>
        <v>180127577.6962648</v>
      </c>
      <c r="I41" s="59">
        <f>SUM(I2:I40)</f>
        <v>878688</v>
      </c>
      <c r="J41" s="59">
        <f>SUM(J2:J40)</f>
        <v>105083380.79796262</v>
      </c>
      <c r="K41" s="59">
        <f>SUM(K2:K40)</f>
        <v>2472183.6299434057</v>
      </c>
      <c r="L41" s="59">
        <f>SUM(L2:L40)</f>
        <v>180127577.69626477</v>
      </c>
    </row>
    <row r="42" spans="1:12" x14ac:dyDescent="0.2">
      <c r="A42" s="93" t="s">
        <v>594</v>
      </c>
      <c r="B42" s="98">
        <v>30</v>
      </c>
      <c r="D42" s="95"/>
      <c r="E42" s="95"/>
      <c r="F42" s="95"/>
      <c r="H42" s="97"/>
      <c r="I42" s="59"/>
      <c r="J42" s="59"/>
      <c r="K42" s="59"/>
      <c r="L42" s="59"/>
    </row>
    <row r="43" spans="1:12" x14ac:dyDescent="0.2">
      <c r="A43" s="93" t="s">
        <v>595</v>
      </c>
      <c r="B43" s="99">
        <v>0.04</v>
      </c>
      <c r="D43" s="95"/>
      <c r="E43" s="95"/>
      <c r="F43" s="95"/>
      <c r="H43" s="97"/>
      <c r="I43" s="59"/>
      <c r="J43" s="59"/>
      <c r="K43" s="59"/>
      <c r="L43" s="59"/>
    </row>
    <row r="44" spans="1:12" x14ac:dyDescent="0.2">
      <c r="A44" s="93" t="s">
        <v>596</v>
      </c>
      <c r="B44" s="99"/>
      <c r="C44" s="95">
        <f>($B$43/12*$C41)/(1-POWER($B$43/12+1,-$B$42*12))</f>
        <v>4194.9909114194788</v>
      </c>
      <c r="D44" s="95">
        <f>($B$43/12*$C41)/(1-POWER($B$43/12+1,-$B$42*12))+($B$43/12*$D41)/(1-POWER($B$43/12+1,-$B$42*12))</f>
        <v>505879.12383309979</v>
      </c>
      <c r="E44" s="95">
        <f>($B$43/12*$C41)/(1-POWER($B$43/12+1,-$B$42*12))+($B$43/12*$D41)/(1-POWER($B$43/12+1,-$B$42*12))</f>
        <v>505879.12383309979</v>
      </c>
      <c r="F44" s="95"/>
      <c r="H44" s="97"/>
      <c r="I44" s="59"/>
      <c r="J44" s="59"/>
      <c r="K44" s="59"/>
      <c r="L44" s="59"/>
    </row>
    <row r="45" spans="1:12" x14ac:dyDescent="0.2">
      <c r="A45" s="93" t="s">
        <v>597</v>
      </c>
      <c r="B45" s="93"/>
      <c r="C45" s="94">
        <f>12*C44</f>
        <v>50339.89093703375</v>
      </c>
      <c r="D45" s="94">
        <f>12*D44</f>
        <v>6070549.4859971972</v>
      </c>
      <c r="E45" s="94">
        <f>12*E44</f>
        <v>6070549.4859971972</v>
      </c>
      <c r="F45" s="95">
        <f>$B$42*E45</f>
        <v>182116484.57991591</v>
      </c>
    </row>
    <row r="46" spans="1:12" x14ac:dyDescent="0.2">
      <c r="A46" s="93" t="s">
        <v>598</v>
      </c>
      <c r="B46" s="93"/>
      <c r="C46" s="95">
        <f>C41+C45</f>
        <v>929027.89093703381</v>
      </c>
      <c r="D46" s="95">
        <f>D41+D45</f>
        <v>111153930.28395982</v>
      </c>
      <c r="E46" s="95">
        <f>E41+E45</f>
        <v>8542733.1159406025</v>
      </c>
      <c r="F46" s="95">
        <f>F41+F45-SUM(C41:D41)</f>
        <v>256281993.47821814</v>
      </c>
    </row>
    <row r="47" spans="1:12" x14ac:dyDescent="0.2">
      <c r="A47" s="93" t="s">
        <v>637</v>
      </c>
      <c r="B47" s="123">
        <v>0.25</v>
      </c>
      <c r="C47" s="95"/>
      <c r="D47" s="95"/>
      <c r="E47" s="100"/>
      <c r="F47" s="95"/>
      <c r="G47" s="93"/>
    </row>
    <row r="48" spans="1:12" x14ac:dyDescent="0.2">
      <c r="A48" s="93" t="s">
        <v>638</v>
      </c>
      <c r="B48" s="93">
        <f xml:space="preserve"> (1-B47) * 104.18</f>
        <v>78.135000000000005</v>
      </c>
      <c r="C48" s="95"/>
      <c r="D48" s="95"/>
      <c r="E48" s="100">
        <f>B48*G48/5</f>
        <v>9376.2000000000007</v>
      </c>
      <c r="F48" s="95"/>
      <c r="G48" s="93">
        <v>600</v>
      </c>
    </row>
    <row r="49" spans="1:12" x14ac:dyDescent="0.2">
      <c r="A49" s="93" t="s">
        <v>599</v>
      </c>
      <c r="B49" s="93"/>
      <c r="C49" s="98">
        <v>0</v>
      </c>
      <c r="D49" s="98">
        <v>0</v>
      </c>
      <c r="E49" s="100">
        <f xml:space="preserve"> E48/1000</f>
        <v>9.3762000000000008</v>
      </c>
      <c r="F49" s="98"/>
    </row>
    <row r="50" spans="1:12" x14ac:dyDescent="0.2">
      <c r="A50" s="93" t="s">
        <v>600</v>
      </c>
      <c r="B50" s="93"/>
      <c r="C50" s="93">
        <v>0</v>
      </c>
      <c r="D50" s="93">
        <v>0</v>
      </c>
      <c r="E50" s="96">
        <f>E49*365*24*0.9</f>
        <v>73921.960800000001</v>
      </c>
      <c r="F50" s="101">
        <f>SUM(C50:D50)+30*E50</f>
        <v>2217658.824</v>
      </c>
    </row>
    <row r="51" spans="1:12" x14ac:dyDescent="0.2">
      <c r="A51" s="93" t="s">
        <v>747</v>
      </c>
      <c r="B51" s="102">
        <v>85</v>
      </c>
      <c r="C51" s="95">
        <f>C50*90</f>
        <v>0</v>
      </c>
      <c r="D51" s="95">
        <f>D50*90</f>
        <v>0</v>
      </c>
      <c r="E51" s="95">
        <f>E50*$B51</f>
        <v>6283366.6679999996</v>
      </c>
      <c r="F51" s="95">
        <f>F50*$B51</f>
        <v>188501000.03999999</v>
      </c>
    </row>
    <row r="52" spans="1:12" x14ac:dyDescent="0.2">
      <c r="A52" s="93" t="s">
        <v>601</v>
      </c>
      <c r="B52" s="93"/>
      <c r="C52" s="95">
        <f>C51-C41</f>
        <v>-878688</v>
      </c>
      <c r="D52" s="95">
        <f>D51-D41</f>
        <v>-105083380.79796262</v>
      </c>
      <c r="E52" s="95">
        <f>E51-E41</f>
        <v>3811183.0380565939</v>
      </c>
      <c r="F52" s="95">
        <f>F51-F41</f>
        <v>8373422.3437351882</v>
      </c>
      <c r="I52" s="9"/>
      <c r="J52" s="9"/>
      <c r="K52" s="9"/>
      <c r="L52" s="9"/>
    </row>
    <row r="53" spans="1:12" x14ac:dyDescent="0.2">
      <c r="A53" s="93" t="s">
        <v>748</v>
      </c>
      <c r="B53" s="93"/>
      <c r="C53" s="93" t="s">
        <v>710</v>
      </c>
      <c r="D53" s="93"/>
      <c r="E53" s="93"/>
      <c r="F53" s="93"/>
    </row>
    <row r="54" spans="1:12" x14ac:dyDescent="0.2">
      <c r="A54" s="93" t="s">
        <v>659</v>
      </c>
      <c r="B54" s="117">
        <f xml:space="preserve"> 600/5 * 5924805.2 / $C$57</f>
        <v>2181.8911804848713</v>
      </c>
      <c r="C54" s="153">
        <f xml:space="preserve"> (1-0.75) * 600 * 68/12</f>
        <v>850</v>
      </c>
      <c r="D54" s="153"/>
      <c r="E54" s="95"/>
      <c r="F54" s="95"/>
      <c r="H54">
        <f>+J60</f>
        <v>0</v>
      </c>
    </row>
    <row r="55" spans="1:12" x14ac:dyDescent="0.2">
      <c r="A55" s="93" t="s">
        <v>660</v>
      </c>
      <c r="B55" s="93"/>
      <c r="C55" s="117">
        <f xml:space="preserve"> $B$47 * 600/5 * 12435528.6 / $C$57</f>
        <v>1144.8887035563371</v>
      </c>
      <c r="D55" s="95"/>
      <c r="E55" s="95"/>
      <c r="F55" s="95"/>
      <c r="H55" s="6"/>
      <c r="I55" s="9"/>
      <c r="J55" s="9"/>
      <c r="K55" s="9"/>
      <c r="L55" s="9"/>
    </row>
    <row r="56" spans="1:12" x14ac:dyDescent="0.2">
      <c r="A56" s="93" t="s">
        <v>661</v>
      </c>
      <c r="C56" s="117">
        <f xml:space="preserve"> C55-C54</f>
        <v>294.88870355633708</v>
      </c>
    </row>
    <row r="57" spans="1:12" x14ac:dyDescent="0.2">
      <c r="A57" s="93" t="s">
        <v>656</v>
      </c>
      <c r="C57" s="116">
        <v>325853.38368799997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scale="89"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C18"/>
  <sheetViews>
    <sheetView workbookViewId="0">
      <selection sqref="A1:C18"/>
    </sheetView>
  </sheetViews>
  <sheetFormatPr defaultColWidth="8.85546875" defaultRowHeight="15" x14ac:dyDescent="0.25"/>
  <cols>
    <col min="1" max="1" width="28" style="139" customWidth="1"/>
    <col min="2" max="2" width="8.85546875" style="139"/>
    <col min="3" max="3" width="12.85546875" style="139" customWidth="1"/>
    <col min="4" max="16384" width="8.85546875" style="139"/>
  </cols>
  <sheetData>
    <row r="1" spans="1:3" x14ac:dyDescent="0.25">
      <c r="A1" s="139" t="s">
        <v>357</v>
      </c>
      <c r="B1" s="140">
        <v>10</v>
      </c>
      <c r="C1" s="139" t="s">
        <v>667</v>
      </c>
    </row>
    <row r="2" spans="1:3" x14ac:dyDescent="0.25">
      <c r="A2" s="139" t="s">
        <v>357</v>
      </c>
      <c r="B2" s="141">
        <f xml:space="preserve"> B1 * 4046.86</f>
        <v>40468.6</v>
      </c>
      <c r="C2" s="139" t="s">
        <v>668</v>
      </c>
    </row>
    <row r="3" spans="1:3" x14ac:dyDescent="0.25">
      <c r="A3" s="139" t="s">
        <v>669</v>
      </c>
      <c r="B3" s="142">
        <v>2</v>
      </c>
      <c r="C3" s="139" t="s">
        <v>670</v>
      </c>
    </row>
    <row r="4" spans="1:3" x14ac:dyDescent="0.25">
      <c r="A4" s="139" t="s">
        <v>671</v>
      </c>
      <c r="B4" s="142">
        <v>2</v>
      </c>
      <c r="C4" s="139" t="s">
        <v>672</v>
      </c>
    </row>
    <row r="5" spans="1:3" x14ac:dyDescent="0.25">
      <c r="A5" s="139" t="s">
        <v>673</v>
      </c>
      <c r="B5" s="142">
        <v>1.2</v>
      </c>
      <c r="C5" s="139" t="s">
        <v>672</v>
      </c>
    </row>
    <row r="6" spans="1:3" x14ac:dyDescent="0.25">
      <c r="A6" s="139" t="s">
        <v>674</v>
      </c>
      <c r="B6" s="142">
        <v>0.2</v>
      </c>
      <c r="C6" s="139" t="s">
        <v>672</v>
      </c>
    </row>
    <row r="7" spans="1:3" x14ac:dyDescent="0.25">
      <c r="A7" s="139" t="s">
        <v>675</v>
      </c>
      <c r="B7" s="142">
        <v>0.5</v>
      </c>
      <c r="C7" s="139" t="s">
        <v>672</v>
      </c>
    </row>
    <row r="8" spans="1:3" x14ac:dyDescent="0.25">
      <c r="A8" s="139" t="s">
        <v>676</v>
      </c>
      <c r="B8" s="141">
        <f xml:space="preserve"> SUM(B4:B7)</f>
        <v>3.9000000000000004</v>
      </c>
      <c r="C8" s="139" t="s">
        <v>672</v>
      </c>
    </row>
    <row r="9" spans="1:3" x14ac:dyDescent="0.25">
      <c r="A9" s="139" t="s">
        <v>676</v>
      </c>
      <c r="B9" s="141">
        <f xml:space="preserve"> B8 * 3.28084</f>
        <v>12.795276000000001</v>
      </c>
      <c r="C9" s="139" t="s">
        <v>677</v>
      </c>
    </row>
    <row r="10" spans="1:3" x14ac:dyDescent="0.25">
      <c r="A10" s="139" t="s">
        <v>678</v>
      </c>
      <c r="B10" s="141">
        <f xml:space="preserve"> B3 * B8</f>
        <v>7.8000000000000007</v>
      </c>
      <c r="C10" s="139" t="s">
        <v>672</v>
      </c>
    </row>
    <row r="11" spans="1:3" x14ac:dyDescent="0.25">
      <c r="A11" s="139" t="s">
        <v>679</v>
      </c>
      <c r="B11" s="141">
        <f xml:space="preserve"> SQRT(B1 * 43560)</f>
        <v>660</v>
      </c>
      <c r="C11" s="139" t="s">
        <v>361</v>
      </c>
    </row>
    <row r="12" spans="1:3" x14ac:dyDescent="0.25">
      <c r="A12" s="139" t="s">
        <v>680</v>
      </c>
      <c r="B12" s="141">
        <f xml:space="preserve"> B11 + B10 * 3.28084</f>
        <v>685.590552</v>
      </c>
      <c r="C12" s="139" t="s">
        <v>361</v>
      </c>
    </row>
    <row r="13" spans="1:3" x14ac:dyDescent="0.25">
      <c r="A13" s="139" t="s">
        <v>681</v>
      </c>
      <c r="B13" s="141">
        <f xml:space="preserve"> 4 * B12</f>
        <v>2742.362208</v>
      </c>
      <c r="C13" s="139" t="s">
        <v>677</v>
      </c>
    </row>
    <row r="14" spans="1:3" x14ac:dyDescent="0.25">
      <c r="A14" s="139" t="s">
        <v>679</v>
      </c>
      <c r="B14" s="141">
        <f xml:space="preserve"> SQRT(B2)</f>
        <v>201.16808892068343</v>
      </c>
      <c r="C14" s="139" t="s">
        <v>672</v>
      </c>
    </row>
    <row r="15" spans="1:3" x14ac:dyDescent="0.25">
      <c r="A15" s="139" t="s">
        <v>680</v>
      </c>
      <c r="B15" s="141">
        <f xml:space="preserve"> B14 + 2 * B10</f>
        <v>216.76808892068343</v>
      </c>
      <c r="C15" s="139" t="s">
        <v>672</v>
      </c>
    </row>
    <row r="16" spans="1:3" x14ac:dyDescent="0.25">
      <c r="A16" s="139" t="s">
        <v>682</v>
      </c>
      <c r="B16" s="141">
        <f xml:space="preserve"> B2 * B4 + 2 * (B14 * B3 * B4)</f>
        <v>82546.544711365466</v>
      </c>
      <c r="C16" s="139" t="s">
        <v>683</v>
      </c>
    </row>
    <row r="17" spans="1:3" x14ac:dyDescent="0.25">
      <c r="A17" s="139" t="s">
        <v>684</v>
      </c>
      <c r="B17" s="141">
        <f xml:space="preserve"> B5 * POWER((B14 + 2 * (B3 * B4)),2) + B5 * (2 * (B14 + 2 * (B3 * B4)) * (B3 * B5))</f>
        <v>53706.355499460253</v>
      </c>
      <c r="C17" s="139" t="s">
        <v>683</v>
      </c>
    </row>
    <row r="18" spans="1:3" x14ac:dyDescent="0.25">
      <c r="A18" s="139" t="s">
        <v>685</v>
      </c>
      <c r="B18" s="141">
        <f xml:space="preserve"> B6 * POWER((B14 + 2 * (B3 * (B4 + B5))),2) + B6 * (2 * (B14 + 2 * (B3 * (B4+ B5))) * (B3 * B6))</f>
        <v>9190.7035095012088</v>
      </c>
      <c r="C18" s="139" t="s">
        <v>683</v>
      </c>
    </row>
  </sheetData>
  <pageMargins left="0.7" right="0.7" top="0.75" bottom="0.75" header="0.3" footer="0.3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C15"/>
  <sheetViews>
    <sheetView workbookViewId="0">
      <selection activeCell="G19" sqref="G19"/>
    </sheetView>
  </sheetViews>
  <sheetFormatPr defaultColWidth="8.85546875" defaultRowHeight="15" x14ac:dyDescent="0.25"/>
  <cols>
    <col min="1" max="1" width="33.85546875" style="139" customWidth="1"/>
    <col min="2" max="2" width="10" style="139" bestFit="1" customWidth="1"/>
    <col min="3" max="16384" width="8.85546875" style="139"/>
  </cols>
  <sheetData>
    <row r="1" spans="1:3" x14ac:dyDescent="0.25">
      <c r="A1" s="139" t="s">
        <v>686</v>
      </c>
      <c r="B1" s="142">
        <v>1.18</v>
      </c>
    </row>
    <row r="2" spans="1:3" x14ac:dyDescent="0.25">
      <c r="A2" s="139" t="s">
        <v>687</v>
      </c>
      <c r="B2" s="142">
        <v>1.01</v>
      </c>
    </row>
    <row r="3" spans="1:3" ht="17.25" x14ac:dyDescent="0.25">
      <c r="A3" s="139" t="s">
        <v>688</v>
      </c>
      <c r="B3" s="143">
        <v>1</v>
      </c>
      <c r="C3" s="139" t="s">
        <v>689</v>
      </c>
    </row>
    <row r="4" spans="1:3" x14ac:dyDescent="0.25">
      <c r="A4" s="139" t="s">
        <v>690</v>
      </c>
      <c r="B4" s="144">
        <v>1189200</v>
      </c>
      <c r="C4" s="139" t="s">
        <v>188</v>
      </c>
    </row>
    <row r="5" spans="1:3" x14ac:dyDescent="0.25">
      <c r="A5" s="139" t="s">
        <v>691</v>
      </c>
      <c r="B5" s="142">
        <v>310000</v>
      </c>
      <c r="C5" s="139" t="s">
        <v>188</v>
      </c>
    </row>
    <row r="6" spans="1:3" x14ac:dyDescent="0.25">
      <c r="A6" s="139" t="s">
        <v>692</v>
      </c>
      <c r="B6" s="145">
        <f xml:space="preserve"> B5/B4</f>
        <v>0.2606794483686512</v>
      </c>
    </row>
    <row r="7" spans="1:3" x14ac:dyDescent="0.25">
      <c r="A7" s="139" t="s">
        <v>693</v>
      </c>
      <c r="B7" s="142">
        <v>35000</v>
      </c>
      <c r="C7" s="139" t="s">
        <v>188</v>
      </c>
    </row>
    <row r="8" spans="1:3" x14ac:dyDescent="0.25">
      <c r="A8" s="139" t="s">
        <v>694</v>
      </c>
      <c r="B8" s="145">
        <f xml:space="preserve"> B7/B4</f>
        <v>2.9431550622267072E-2</v>
      </c>
    </row>
    <row r="9" spans="1:3" x14ac:dyDescent="0.25">
      <c r="A9" s="139" t="s">
        <v>695</v>
      </c>
      <c r="B9" s="141">
        <f xml:space="preserve"> B1 * 'SGSP Pond Sizing'!B16 * B6</f>
        <v>25391.461533314403</v>
      </c>
      <c r="C9" s="139" t="s">
        <v>696</v>
      </c>
    </row>
    <row r="10" spans="1:3" x14ac:dyDescent="0.25">
      <c r="A10" s="139" t="s">
        <v>697</v>
      </c>
      <c r="B10" s="141">
        <f xml:space="preserve"> ((B1*'SGSP Pond Sizing'!B17 * B6) + (B2*'SGSP Pond Sizing'!B17 * B8))/2</f>
        <v>9058.3184109521026</v>
      </c>
      <c r="C10" s="139" t="s">
        <v>696</v>
      </c>
    </row>
    <row r="11" spans="1:3" x14ac:dyDescent="0.25">
      <c r="A11" s="139" t="s">
        <v>698</v>
      </c>
      <c r="B11" s="141">
        <f xml:space="preserve"> B2 * 'SGSP Pond Sizing'!B18 * B8</f>
        <v>273.20162215007377</v>
      </c>
      <c r="C11" s="139" t="s">
        <v>696</v>
      </c>
    </row>
    <row r="12" spans="1:3" x14ac:dyDescent="0.25">
      <c r="A12" s="152" t="s">
        <v>709</v>
      </c>
      <c r="B12" s="141">
        <f xml:space="preserve"> SUM(B9:B11)</f>
        <v>34722.98156641658</v>
      </c>
      <c r="C12" s="139" t="s">
        <v>696</v>
      </c>
    </row>
    <row r="13" spans="1:3" x14ac:dyDescent="0.25">
      <c r="A13" s="154" t="s">
        <v>712</v>
      </c>
      <c r="B13" s="155">
        <f xml:space="preserve"> 'SGSP Pond Sizing'!B1</f>
        <v>10</v>
      </c>
      <c r="C13" s="154" t="s">
        <v>667</v>
      </c>
    </row>
    <row r="15" spans="1:3" x14ac:dyDescent="0.25">
      <c r="B15" s="154" t="s">
        <v>308</v>
      </c>
    </row>
  </sheetData>
  <pageMargins left="0.7" right="0.7" top="0.75" bottom="0.75" header="0.3" footer="0.3"/>
  <pageSetup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G35"/>
  <sheetViews>
    <sheetView zoomScale="110" zoomScaleNormal="110" workbookViewId="0">
      <selection activeCell="F28" sqref="F28"/>
    </sheetView>
  </sheetViews>
  <sheetFormatPr defaultColWidth="11.5703125" defaultRowHeight="12.75" x14ac:dyDescent="0.2"/>
  <cols>
    <col min="1" max="1" width="24.42578125" customWidth="1"/>
    <col min="2" max="2" width="13.5703125" customWidth="1"/>
    <col min="4" max="4" width="12.42578125" customWidth="1"/>
    <col min="5" max="5" width="44" customWidth="1"/>
    <col min="6" max="6" width="11.42578125" customWidth="1"/>
  </cols>
  <sheetData>
    <row r="1" spans="1:7" x14ac:dyDescent="0.2">
      <c r="A1" s="1" t="s">
        <v>390</v>
      </c>
      <c r="B1" s="1" t="s">
        <v>391</v>
      </c>
      <c r="C1" s="1" t="s">
        <v>107</v>
      </c>
      <c r="E1" s="86" t="s">
        <v>526</v>
      </c>
      <c r="F1" s="1" t="s">
        <v>391</v>
      </c>
      <c r="G1" s="1" t="s">
        <v>107</v>
      </c>
    </row>
    <row r="2" spans="1:7" x14ac:dyDescent="0.2">
      <c r="A2" t="s">
        <v>198</v>
      </c>
      <c r="B2" s="32">
        <v>5000000</v>
      </c>
      <c r="C2" t="s">
        <v>128</v>
      </c>
      <c r="E2" s="87" t="s">
        <v>527</v>
      </c>
    </row>
    <row r="3" spans="1:7" x14ac:dyDescent="0.2">
      <c r="A3" t="s">
        <v>394</v>
      </c>
      <c r="B3" s="32">
        <v>50</v>
      </c>
      <c r="C3" t="s">
        <v>188</v>
      </c>
      <c r="E3" s="88"/>
      <c r="F3" s="88"/>
    </row>
    <row r="4" spans="1:7" x14ac:dyDescent="0.2">
      <c r="A4" t="s">
        <v>396</v>
      </c>
      <c r="B4" s="57">
        <v>13.7</v>
      </c>
      <c r="C4" t="s">
        <v>397</v>
      </c>
      <c r="E4" s="88" t="s">
        <v>528</v>
      </c>
      <c r="F4" s="88">
        <v>10</v>
      </c>
      <c r="G4" s="6" t="s">
        <v>202</v>
      </c>
    </row>
    <row r="5" spans="1:7" x14ac:dyDescent="0.2">
      <c r="A5" t="s">
        <v>399</v>
      </c>
      <c r="B5" s="32">
        <v>3</v>
      </c>
      <c r="C5" t="s">
        <v>66</v>
      </c>
      <c r="E5" s="88" t="s">
        <v>529</v>
      </c>
      <c r="F5" s="89">
        <f>F4*24*365*95</f>
        <v>8322000</v>
      </c>
      <c r="G5" s="6" t="s">
        <v>530</v>
      </c>
    </row>
    <row r="6" spans="1:7" x14ac:dyDescent="0.2">
      <c r="A6" t="s">
        <v>400</v>
      </c>
      <c r="B6" s="32">
        <v>109000</v>
      </c>
      <c r="C6" t="s">
        <v>67</v>
      </c>
      <c r="E6" s="88" t="s">
        <v>531</v>
      </c>
      <c r="F6" s="90">
        <v>85</v>
      </c>
      <c r="G6" s="6" t="s">
        <v>532</v>
      </c>
    </row>
    <row r="7" spans="1:7" x14ac:dyDescent="0.2">
      <c r="A7" t="s">
        <v>199</v>
      </c>
      <c r="B7" s="41">
        <v>6.02</v>
      </c>
      <c r="E7" s="88" t="s">
        <v>533</v>
      </c>
      <c r="F7" s="90">
        <f>F6*F4*24*365</f>
        <v>7446000</v>
      </c>
      <c r="G7" s="6"/>
    </row>
    <row r="8" spans="1:7" x14ac:dyDescent="0.2">
      <c r="A8" t="s">
        <v>200</v>
      </c>
      <c r="B8" s="32">
        <f>B2/B7</f>
        <v>830564.78405315615</v>
      </c>
      <c r="C8" t="s">
        <v>128</v>
      </c>
      <c r="E8" s="88"/>
      <c r="F8" s="90"/>
      <c r="G8" s="6"/>
    </row>
    <row r="9" spans="1:7" x14ac:dyDescent="0.2">
      <c r="A9" t="s">
        <v>173</v>
      </c>
      <c r="B9" s="33">
        <f>B2/(B2+B8)</f>
        <v>0.85754985754985757</v>
      </c>
      <c r="E9" s="88" t="s">
        <v>534</v>
      </c>
      <c r="F9" s="90">
        <f>B29</f>
        <v>761.41264109897679</v>
      </c>
      <c r="G9" s="6" t="s">
        <v>186</v>
      </c>
    </row>
    <row r="10" spans="1:7" x14ac:dyDescent="0.2">
      <c r="A10" t="s">
        <v>130</v>
      </c>
      <c r="B10" s="4">
        <v>0.9</v>
      </c>
      <c r="E10" s="88" t="s">
        <v>535</v>
      </c>
      <c r="F10" s="89">
        <f>(B$2*365*B$10/325853.383688)</f>
        <v>5040.6105390412968</v>
      </c>
      <c r="G10" s="6" t="s">
        <v>409</v>
      </c>
    </row>
    <row r="11" spans="1:7" x14ac:dyDescent="0.2">
      <c r="B11" s="4"/>
      <c r="E11" s="88" t="s">
        <v>536</v>
      </c>
      <c r="F11" s="90">
        <v>207</v>
      </c>
      <c r="G11" s="6" t="s">
        <v>186</v>
      </c>
    </row>
    <row r="12" spans="1:7" x14ac:dyDescent="0.2">
      <c r="A12" s="1" t="s">
        <v>408</v>
      </c>
      <c r="B12" s="1"/>
      <c r="E12" s="88" t="s">
        <v>537</v>
      </c>
      <c r="F12" s="89">
        <v>2000</v>
      </c>
      <c r="G12" s="6" t="s">
        <v>538</v>
      </c>
    </row>
    <row r="13" spans="1:7" x14ac:dyDescent="0.2">
      <c r="A13" t="s">
        <v>169</v>
      </c>
      <c r="B13" s="30">
        <f>'5MGD 15 Effect VTE Capital Cost'!B33</f>
        <v>25369589.325787447</v>
      </c>
      <c r="C13" t="s">
        <v>170</v>
      </c>
      <c r="E13" s="88" t="s">
        <v>539</v>
      </c>
      <c r="F13" s="90">
        <f>F11*F12</f>
        <v>414000</v>
      </c>
      <c r="G13" s="6" t="s">
        <v>540</v>
      </c>
    </row>
    <row r="14" spans="1:7" x14ac:dyDescent="0.2">
      <c r="A14" t="s">
        <v>111</v>
      </c>
      <c r="B14">
        <v>25</v>
      </c>
      <c r="C14" t="s">
        <v>112</v>
      </c>
      <c r="E14" s="88" t="s">
        <v>541</v>
      </c>
      <c r="F14" s="89">
        <v>3240.3</v>
      </c>
      <c r="G14" s="6" t="s">
        <v>409</v>
      </c>
    </row>
    <row r="15" spans="1:7" x14ac:dyDescent="0.2">
      <c r="A15" t="s">
        <v>113</v>
      </c>
      <c r="B15" s="31">
        <v>0.08</v>
      </c>
      <c r="C15" t="s">
        <v>114</v>
      </c>
      <c r="E15" s="88" t="s">
        <v>542</v>
      </c>
      <c r="F15" s="90">
        <f>F11*F14+F13/30</f>
        <v>684542.10000000009</v>
      </c>
      <c r="G15" s="6" t="s">
        <v>114</v>
      </c>
    </row>
    <row r="16" spans="1:7" x14ac:dyDescent="0.2">
      <c r="A16" t="s">
        <v>115</v>
      </c>
      <c r="B16" s="35">
        <f>B13-CUMIPMT(B15/12,B14*12,B13,1,B14*12,1)</f>
        <v>58352961.815984979</v>
      </c>
      <c r="C16" t="s">
        <v>412</v>
      </c>
      <c r="E16" s="88"/>
      <c r="F16" s="90"/>
      <c r="G16" s="6"/>
    </row>
    <row r="17" spans="1:7" x14ac:dyDescent="0.2">
      <c r="A17" s="6" t="s">
        <v>116</v>
      </c>
      <c r="B17" s="35">
        <f>B16/B14</f>
        <v>2334118.4726393991</v>
      </c>
      <c r="C17" t="s">
        <v>114</v>
      </c>
      <c r="E17" s="86" t="s">
        <v>543</v>
      </c>
      <c r="F17" s="90"/>
      <c r="G17" s="6"/>
    </row>
    <row r="18" spans="1:7" x14ac:dyDescent="0.2">
      <c r="A18" s="1" t="s">
        <v>544</v>
      </c>
      <c r="B18" s="35"/>
      <c r="E18" s="6" t="s">
        <v>545</v>
      </c>
      <c r="F18" s="12">
        <f>B26/(B8*365*B10/1000)</f>
        <v>14.066768457450399</v>
      </c>
      <c r="G18" t="s">
        <v>185</v>
      </c>
    </row>
    <row r="19" spans="1:7" x14ac:dyDescent="0.2">
      <c r="A19" s="6" t="s">
        <v>181</v>
      </c>
      <c r="B19" s="32">
        <f>'5MGD 15 Effect Pump Specs kW'!H11*24</f>
        <v>15296.485294775601</v>
      </c>
      <c r="C19" t="s">
        <v>182</v>
      </c>
      <c r="E19" s="6" t="s">
        <v>545</v>
      </c>
      <c r="F19" s="12">
        <f>B$26/(B$8*365*B$10/325853.383688)</f>
        <v>4583.7040994158406</v>
      </c>
      <c r="G19" t="s">
        <v>186</v>
      </c>
    </row>
    <row r="20" spans="1:7" x14ac:dyDescent="0.2">
      <c r="A20" s="6" t="s">
        <v>151</v>
      </c>
      <c r="B20" s="42">
        <v>8.5000000000000006E-2</v>
      </c>
      <c r="C20" t="s">
        <v>183</v>
      </c>
      <c r="E20" s="88" t="s">
        <v>546</v>
      </c>
      <c r="F20" s="89">
        <v>6300</v>
      </c>
      <c r="G20" s="6" t="s">
        <v>409</v>
      </c>
    </row>
    <row r="21" spans="1:7" x14ac:dyDescent="0.2">
      <c r="A21" s="6" t="s">
        <v>153</v>
      </c>
      <c r="B21" s="35">
        <f>B19*B20*365*B10</f>
        <v>427116.11064337177</v>
      </c>
      <c r="C21" t="s">
        <v>114</v>
      </c>
      <c r="E21" s="88" t="s">
        <v>547</v>
      </c>
      <c r="F21" s="90">
        <f>B31</f>
        <v>4583.7040994158406</v>
      </c>
      <c r="G21" s="6" t="s">
        <v>186</v>
      </c>
    </row>
    <row r="22" spans="1:7" x14ac:dyDescent="0.2">
      <c r="A22" s="6" t="s">
        <v>201</v>
      </c>
      <c r="B22" s="35">
        <f>0.51/1000*$B$2*365</f>
        <v>930750</v>
      </c>
      <c r="C22" t="s">
        <v>114</v>
      </c>
      <c r="E22" s="88" t="s">
        <v>548</v>
      </c>
      <c r="F22" s="90">
        <f>B26</f>
        <v>3837984.5832827711</v>
      </c>
      <c r="G22" s="6" t="s">
        <v>114</v>
      </c>
    </row>
    <row r="23" spans="1:7" x14ac:dyDescent="0.2">
      <c r="A23" s="6" t="s">
        <v>175</v>
      </c>
      <c r="B23" s="35">
        <f>0.06/1000*$B$2*365</f>
        <v>109500</v>
      </c>
      <c r="C23" t="s">
        <v>114</v>
      </c>
      <c r="E23" s="88" t="s">
        <v>549</v>
      </c>
      <c r="F23" s="91">
        <f>F22/F5</f>
        <v>0.46118536208637001</v>
      </c>
      <c r="G23" s="6" t="s">
        <v>550</v>
      </c>
    </row>
    <row r="24" spans="1:7" x14ac:dyDescent="0.2">
      <c r="A24" s="6" t="s">
        <v>180</v>
      </c>
      <c r="B24" s="35">
        <f>0.02/1000*$B$2*365</f>
        <v>36500.000000000007</v>
      </c>
      <c r="C24" t="s">
        <v>114</v>
      </c>
      <c r="E24" s="88"/>
      <c r="F24" s="90"/>
      <c r="G24" s="6"/>
    </row>
    <row r="25" spans="1:7" x14ac:dyDescent="0.2">
      <c r="A25" s="6" t="s">
        <v>140</v>
      </c>
      <c r="B25" s="35">
        <f>SUM(B$21,B$22:B$24)</f>
        <v>1503866.1106433717</v>
      </c>
      <c r="C25" t="s">
        <v>114</v>
      </c>
      <c r="E25" s="88" t="s">
        <v>630</v>
      </c>
      <c r="F25" s="108">
        <v>310000</v>
      </c>
      <c r="G25" s="6" t="s">
        <v>188</v>
      </c>
    </row>
    <row r="26" spans="1:7" x14ac:dyDescent="0.2">
      <c r="A26" s="6" t="s">
        <v>155</v>
      </c>
      <c r="B26" s="35">
        <f>SUM(B$17,B$21,B$22:B$24)</f>
        <v>3837984.5832827711</v>
      </c>
      <c r="C26" t="s">
        <v>114</v>
      </c>
      <c r="E26" s="88" t="s">
        <v>630</v>
      </c>
      <c r="F26" s="108">
        <f xml:space="preserve"> F25 / 1000 / 1000 * 3.78541</f>
        <v>1.1734770999999999</v>
      </c>
      <c r="G26" s="6" t="s">
        <v>632</v>
      </c>
    </row>
    <row r="27" spans="1:7" x14ac:dyDescent="0.2">
      <c r="A27" s="6"/>
      <c r="B27" s="35"/>
      <c r="E27" s="88" t="s">
        <v>630</v>
      </c>
      <c r="F27" s="108">
        <f>F26/1000*325853.383688</f>
        <v>382.38148371538148</v>
      </c>
      <c r="G27" s="6" t="s">
        <v>631</v>
      </c>
    </row>
    <row r="28" spans="1:7" x14ac:dyDescent="0.2">
      <c r="A28" s="6" t="s">
        <v>208</v>
      </c>
      <c r="B28" s="35">
        <f>B26/(B2*365*B10/1000)</f>
        <v>2.3366725012376079</v>
      </c>
      <c r="C28" t="s">
        <v>185</v>
      </c>
      <c r="E28" s="88" t="s">
        <v>633</v>
      </c>
      <c r="F28" s="89">
        <f xml:space="preserve"> F20 * F27</f>
        <v>2409003.3474069033</v>
      </c>
      <c r="G28" s="6" t="s">
        <v>634</v>
      </c>
    </row>
    <row r="29" spans="1:7" x14ac:dyDescent="0.2">
      <c r="A29" s="6" t="s">
        <v>208</v>
      </c>
      <c r="B29" s="35">
        <f>B$26/(B$2*365*B$10/325853.383688)</f>
        <v>761.41264109897679</v>
      </c>
      <c r="C29" t="s">
        <v>186</v>
      </c>
      <c r="E29" s="88"/>
      <c r="F29" s="90"/>
      <c r="G29" s="6"/>
    </row>
    <row r="30" spans="1:7" hidden="1" x14ac:dyDescent="0.2">
      <c r="A30" s="6" t="s">
        <v>545</v>
      </c>
      <c r="B30" s="12">
        <f>B26/(B8*365*B10/1000)</f>
        <v>14.066768457450399</v>
      </c>
      <c r="C30" t="s">
        <v>185</v>
      </c>
      <c r="E30" s="88"/>
      <c r="F30" s="90"/>
      <c r="G30" s="6"/>
    </row>
    <row r="31" spans="1:7" hidden="1" x14ac:dyDescent="0.2">
      <c r="A31" s="6" t="s">
        <v>545</v>
      </c>
      <c r="B31" s="12">
        <f>B$26/(B$8*365*B$10/325853.383688)</f>
        <v>4583.7040994158406</v>
      </c>
      <c r="C31" t="s">
        <v>186</v>
      </c>
      <c r="E31" s="88"/>
      <c r="F31" s="90"/>
      <c r="G31" s="6"/>
    </row>
    <row r="32" spans="1:7" x14ac:dyDescent="0.2">
      <c r="E32" s="88"/>
      <c r="F32" s="90"/>
      <c r="G32" s="6"/>
    </row>
    <row r="33" spans="5:7" x14ac:dyDescent="0.2">
      <c r="E33" s="88"/>
      <c r="F33" s="88"/>
      <c r="G33" s="6"/>
    </row>
    <row r="34" spans="5:7" x14ac:dyDescent="0.2">
      <c r="G34" s="6"/>
    </row>
    <row r="35" spans="5:7" x14ac:dyDescent="0.2">
      <c r="G35" s="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D62"/>
  <sheetViews>
    <sheetView topLeftCell="A31" workbookViewId="0">
      <selection activeCell="C1" sqref="C1"/>
    </sheetView>
  </sheetViews>
  <sheetFormatPr defaultColWidth="11.5703125" defaultRowHeight="12.75" x14ac:dyDescent="0.2"/>
  <cols>
    <col min="1" max="1" width="34.7109375" customWidth="1"/>
    <col min="2" max="2" width="13.140625" style="48" customWidth="1"/>
  </cols>
  <sheetData>
    <row r="1" spans="1:4" x14ac:dyDescent="0.2">
      <c r="A1" s="1" t="s">
        <v>750</v>
      </c>
      <c r="D1" s="1"/>
    </row>
    <row r="2" spans="1:4" x14ac:dyDescent="0.2">
      <c r="A2" t="s">
        <v>357</v>
      </c>
      <c r="B2" s="49">
        <v>10</v>
      </c>
      <c r="C2" t="s">
        <v>358</v>
      </c>
    </row>
    <row r="3" spans="1:4" x14ac:dyDescent="0.2">
      <c r="A3" t="s">
        <v>357</v>
      </c>
      <c r="B3" s="50">
        <f>B2*43560</f>
        <v>435600</v>
      </c>
      <c r="C3" t="s">
        <v>359</v>
      </c>
    </row>
    <row r="4" spans="1:4" x14ac:dyDescent="0.2">
      <c r="A4" t="s">
        <v>360</v>
      </c>
      <c r="B4" s="48">
        <f>SQRT(B3)</f>
        <v>660</v>
      </c>
      <c r="C4" t="s">
        <v>361</v>
      </c>
    </row>
    <row r="5" spans="1:4" x14ac:dyDescent="0.2">
      <c r="A5" t="s">
        <v>362</v>
      </c>
      <c r="B5" s="49">
        <v>4</v>
      </c>
      <c r="C5" t="s">
        <v>361</v>
      </c>
    </row>
    <row r="6" spans="1:4" x14ac:dyDescent="0.2">
      <c r="A6" t="s">
        <v>363</v>
      </c>
      <c r="B6" s="49">
        <v>10</v>
      </c>
      <c r="C6" t="s">
        <v>361</v>
      </c>
    </row>
    <row r="7" spans="1:4" x14ac:dyDescent="0.2">
      <c r="A7" t="s">
        <v>364</v>
      </c>
      <c r="B7" s="49">
        <v>2</v>
      </c>
      <c r="C7" t="s">
        <v>365</v>
      </c>
    </row>
    <row r="8" spans="1:4" x14ac:dyDescent="0.2">
      <c r="A8" t="s">
        <v>366</v>
      </c>
      <c r="B8" s="48">
        <f>2*B5*B7+B6</f>
        <v>26</v>
      </c>
      <c r="C8" t="s">
        <v>361</v>
      </c>
    </row>
    <row r="9" spans="1:4" x14ac:dyDescent="0.2">
      <c r="A9" t="s">
        <v>367</v>
      </c>
      <c r="B9" s="48">
        <f>(B5*B5*B7)+(B6*B5)</f>
        <v>72</v>
      </c>
      <c r="C9" t="s">
        <v>359</v>
      </c>
    </row>
    <row r="10" spans="1:4" x14ac:dyDescent="0.2">
      <c r="A10" t="s">
        <v>368</v>
      </c>
      <c r="B10" s="48">
        <f>B8*B9/27</f>
        <v>69.333333333333329</v>
      </c>
      <c r="C10" t="s">
        <v>369</v>
      </c>
    </row>
    <row r="11" spans="1:4" x14ac:dyDescent="0.2">
      <c r="A11" t="s">
        <v>370</v>
      </c>
      <c r="B11" s="48">
        <f>B4*B9/27</f>
        <v>1760</v>
      </c>
      <c r="C11" t="s">
        <v>369</v>
      </c>
    </row>
    <row r="12" spans="1:4" x14ac:dyDescent="0.2">
      <c r="A12" t="s">
        <v>371</v>
      </c>
      <c r="B12" s="48">
        <f>4*B10+4*B11</f>
        <v>7317.333333333333</v>
      </c>
      <c r="C12" t="s">
        <v>369</v>
      </c>
    </row>
    <row r="13" spans="1:4" x14ac:dyDescent="0.2">
      <c r="A13" t="s">
        <v>372</v>
      </c>
      <c r="B13" s="51">
        <v>4</v>
      </c>
      <c r="C13" t="s">
        <v>373</v>
      </c>
    </row>
    <row r="14" spans="1:4" x14ac:dyDescent="0.2">
      <c r="A14" t="s">
        <v>374</v>
      </c>
      <c r="B14" s="52">
        <f>B13*B12</f>
        <v>29269.333333333332</v>
      </c>
      <c r="C14" t="s">
        <v>375</v>
      </c>
    </row>
    <row r="16" spans="1:4" x14ac:dyDescent="0.2">
      <c r="A16" t="s">
        <v>376</v>
      </c>
      <c r="B16" s="49">
        <v>30</v>
      </c>
      <c r="C16" t="s">
        <v>361</v>
      </c>
    </row>
    <row r="17" spans="1:3" x14ac:dyDescent="0.2">
      <c r="A17" t="s">
        <v>377</v>
      </c>
      <c r="B17" s="49">
        <v>100</v>
      </c>
      <c r="C17" t="s">
        <v>361</v>
      </c>
    </row>
    <row r="18" spans="1:3" x14ac:dyDescent="0.2">
      <c r="A18" t="s">
        <v>378</v>
      </c>
      <c r="B18" s="51">
        <v>2580</v>
      </c>
      <c r="C18" t="s">
        <v>170</v>
      </c>
    </row>
    <row r="19" spans="1:3" x14ac:dyDescent="0.2">
      <c r="A19" t="s">
        <v>379</v>
      </c>
      <c r="B19" s="53">
        <f>ROUNDUP(B3/(B16*B17),0)</f>
        <v>146</v>
      </c>
    </row>
    <row r="20" spans="1:3" x14ac:dyDescent="0.2">
      <c r="A20" t="s">
        <v>380</v>
      </c>
      <c r="B20" s="52">
        <f>B18*B19</f>
        <v>376680</v>
      </c>
    </row>
    <row r="22" spans="1:3" x14ac:dyDescent="0.2">
      <c r="A22" t="s">
        <v>381</v>
      </c>
      <c r="B22" s="49">
        <v>48</v>
      </c>
      <c r="C22" t="s">
        <v>361</v>
      </c>
    </row>
    <row r="23" spans="1:3" x14ac:dyDescent="0.2">
      <c r="A23" t="s">
        <v>382</v>
      </c>
      <c r="B23" s="49">
        <v>102</v>
      </c>
      <c r="C23" t="s">
        <v>361</v>
      </c>
    </row>
    <row r="24" spans="1:3" x14ac:dyDescent="0.2">
      <c r="A24" t="s">
        <v>383</v>
      </c>
      <c r="B24" s="51">
        <v>2399.04</v>
      </c>
      <c r="C24" t="s">
        <v>170</v>
      </c>
    </row>
    <row r="25" spans="1:3" x14ac:dyDescent="0.2">
      <c r="A25" t="s">
        <v>379</v>
      </c>
      <c r="B25" s="53">
        <f>ROUNDUP(B3/(B22*B23),0)</f>
        <v>89</v>
      </c>
    </row>
    <row r="26" spans="1:3" x14ac:dyDescent="0.2">
      <c r="A26" t="s">
        <v>384</v>
      </c>
      <c r="B26" s="52">
        <f>B24*B25</f>
        <v>213514.56</v>
      </c>
    </row>
    <row r="28" spans="1:3" x14ac:dyDescent="0.2">
      <c r="A28" t="s">
        <v>385</v>
      </c>
      <c r="B28" s="49">
        <v>3</v>
      </c>
      <c r="C28" t="s">
        <v>361</v>
      </c>
    </row>
    <row r="29" spans="1:3" x14ac:dyDescent="0.2">
      <c r="A29" t="s">
        <v>386</v>
      </c>
      <c r="B29" s="54">
        <f>B4</f>
        <v>660</v>
      </c>
      <c r="C29" t="s">
        <v>361</v>
      </c>
    </row>
    <row r="30" spans="1:3" x14ac:dyDescent="0.2">
      <c r="A30" t="s">
        <v>387</v>
      </c>
      <c r="B30" s="50">
        <f>B28*B29</f>
        <v>1980</v>
      </c>
      <c r="C30" t="s">
        <v>359</v>
      </c>
    </row>
    <row r="31" spans="1:3" x14ac:dyDescent="0.2">
      <c r="A31" t="s">
        <v>388</v>
      </c>
      <c r="B31" s="48">
        <f>B30</f>
        <v>1980</v>
      </c>
      <c r="C31" t="s">
        <v>361</v>
      </c>
    </row>
    <row r="32" spans="1:3" x14ac:dyDescent="0.2">
      <c r="A32" t="s">
        <v>362</v>
      </c>
      <c r="B32" s="49">
        <v>4</v>
      </c>
      <c r="C32" t="s">
        <v>361</v>
      </c>
    </row>
    <row r="33" spans="1:3" x14ac:dyDescent="0.2">
      <c r="A33" t="s">
        <v>363</v>
      </c>
      <c r="B33" s="49">
        <v>2</v>
      </c>
      <c r="C33" t="s">
        <v>361</v>
      </c>
    </row>
    <row r="34" spans="1:3" x14ac:dyDescent="0.2">
      <c r="A34" t="s">
        <v>364</v>
      </c>
      <c r="B34" s="49">
        <v>1</v>
      </c>
      <c r="C34" t="s">
        <v>365</v>
      </c>
    </row>
    <row r="35" spans="1:3" x14ac:dyDescent="0.2">
      <c r="A35" t="s">
        <v>366</v>
      </c>
      <c r="B35" s="48">
        <f>2*B32*B34+B33</f>
        <v>10</v>
      </c>
      <c r="C35" t="s">
        <v>361</v>
      </c>
    </row>
    <row r="36" spans="1:3" x14ac:dyDescent="0.2">
      <c r="A36" t="s">
        <v>367</v>
      </c>
      <c r="B36" s="48">
        <f>(B32*B32*B34)+(B33*B32)</f>
        <v>24</v>
      </c>
      <c r="C36" t="s">
        <v>359</v>
      </c>
    </row>
    <row r="37" spans="1:3" x14ac:dyDescent="0.2">
      <c r="A37" t="s">
        <v>368</v>
      </c>
      <c r="B37" s="48">
        <f>B35*B36/27</f>
        <v>8.8888888888888893</v>
      </c>
      <c r="C37" t="s">
        <v>369</v>
      </c>
    </row>
    <row r="38" spans="1:3" x14ac:dyDescent="0.2">
      <c r="A38" t="s">
        <v>370</v>
      </c>
      <c r="B38" s="48">
        <f>B31*B36/27</f>
        <v>1760</v>
      </c>
      <c r="C38" t="s">
        <v>369</v>
      </c>
    </row>
    <row r="39" spans="1:3" x14ac:dyDescent="0.2">
      <c r="A39" t="s">
        <v>371</v>
      </c>
      <c r="B39" s="48">
        <f>4*B37+4*B38</f>
        <v>7075.5555555555557</v>
      </c>
      <c r="C39" t="s">
        <v>369</v>
      </c>
    </row>
    <row r="40" spans="1:3" x14ac:dyDescent="0.2">
      <c r="A40" t="s">
        <v>372</v>
      </c>
      <c r="B40" s="51">
        <v>4</v>
      </c>
      <c r="C40" t="s">
        <v>373</v>
      </c>
    </row>
    <row r="41" spans="1:3" x14ac:dyDescent="0.2">
      <c r="A41" t="s">
        <v>374</v>
      </c>
      <c r="B41" s="52">
        <f>B40*B39</f>
        <v>28302.222222222223</v>
      </c>
      <c r="C41" t="s">
        <v>375</v>
      </c>
    </row>
    <row r="42" spans="1:3" x14ac:dyDescent="0.2">
      <c r="B42" s="52"/>
    </row>
    <row r="43" spans="1:3" x14ac:dyDescent="0.2">
      <c r="A43" t="s">
        <v>711</v>
      </c>
      <c r="B43" s="55">
        <v>5000</v>
      </c>
      <c r="C43" t="s">
        <v>118</v>
      </c>
    </row>
    <row r="45" spans="1:3" x14ac:dyDescent="0.2">
      <c r="A45" t="s">
        <v>724</v>
      </c>
      <c r="B45" s="52">
        <f>SUM(B14,B26,B41,B43)</f>
        <v>276086.11555555556</v>
      </c>
    </row>
    <row r="46" spans="1:3" x14ac:dyDescent="0.2">
      <c r="A46" t="s">
        <v>729</v>
      </c>
      <c r="B46" s="52">
        <f xml:space="preserve"> B45 / B2</f>
        <v>27608.611555555555</v>
      </c>
    </row>
    <row r="48" spans="1:3" x14ac:dyDescent="0.2">
      <c r="A48" t="s">
        <v>389</v>
      </c>
      <c r="B48" s="55">
        <v>10</v>
      </c>
      <c r="C48" t="s">
        <v>114</v>
      </c>
    </row>
    <row r="49" spans="1:3" x14ac:dyDescent="0.2">
      <c r="A49" t="s">
        <v>713</v>
      </c>
      <c r="B49" s="56">
        <f>B2*B48</f>
        <v>100</v>
      </c>
      <c r="C49" t="s">
        <v>114</v>
      </c>
    </row>
    <row r="50" spans="1:3" x14ac:dyDescent="0.2">
      <c r="A50" t="s">
        <v>725</v>
      </c>
      <c r="B50" s="55">
        <v>1200</v>
      </c>
      <c r="C50" t="s">
        <v>114</v>
      </c>
    </row>
    <row r="51" spans="1:3" x14ac:dyDescent="0.2">
      <c r="A51" t="s">
        <v>726</v>
      </c>
      <c r="B51" s="56">
        <f>B2*B50</f>
        <v>12000</v>
      </c>
      <c r="C51" t="s">
        <v>114</v>
      </c>
    </row>
    <row r="52" spans="1:3" x14ac:dyDescent="0.2">
      <c r="A52" t="s">
        <v>727</v>
      </c>
      <c r="B52" s="56">
        <f xml:space="preserve"> B43 + B49 + B51</f>
        <v>17100</v>
      </c>
      <c r="C52" t="s">
        <v>114</v>
      </c>
    </row>
    <row r="53" spans="1:3" x14ac:dyDescent="0.2">
      <c r="A53" t="s">
        <v>728</v>
      </c>
      <c r="B53" s="56">
        <f xml:space="preserve"> B52 / B2</f>
        <v>1710</v>
      </c>
      <c r="C53" t="s">
        <v>114</v>
      </c>
    </row>
    <row r="54" spans="1:3" x14ac:dyDescent="0.2">
      <c r="B54" s="56"/>
    </row>
    <row r="55" spans="1:3" ht="15" x14ac:dyDescent="0.25">
      <c r="A55" s="139" t="s">
        <v>690</v>
      </c>
      <c r="B55" s="144">
        <v>1189200</v>
      </c>
      <c r="C55" s="139" t="s">
        <v>188</v>
      </c>
    </row>
    <row r="56" spans="1:3" ht="15" x14ac:dyDescent="0.25">
      <c r="A56" s="154" t="s">
        <v>720</v>
      </c>
      <c r="B56" s="142">
        <v>300000</v>
      </c>
      <c r="C56" s="139" t="s">
        <v>188</v>
      </c>
    </row>
    <row r="57" spans="1:3" ht="15" x14ac:dyDescent="0.25">
      <c r="A57" s="154" t="s">
        <v>719</v>
      </c>
      <c r="B57" s="145">
        <f xml:space="preserve"> B56/B55</f>
        <v>0.25227043390514631</v>
      </c>
      <c r="C57" s="139"/>
    </row>
    <row r="58" spans="1:3" ht="15" x14ac:dyDescent="0.25">
      <c r="A58" s="154" t="s">
        <v>718</v>
      </c>
      <c r="B58" s="144">
        <v>1233.4892384681</v>
      </c>
      <c r="C58" s="139"/>
    </row>
    <row r="59" spans="1:3" ht="15" x14ac:dyDescent="0.25">
      <c r="A59" s="154" t="s">
        <v>717</v>
      </c>
      <c r="B59" s="144">
        <f xml:space="preserve"> B58 * 1000</f>
        <v>1233489.2384681001</v>
      </c>
      <c r="C59" s="139"/>
    </row>
    <row r="60" spans="1:3" x14ac:dyDescent="0.2">
      <c r="A60" t="s">
        <v>714</v>
      </c>
      <c r="B60" s="50">
        <f xml:space="preserve"> B2 * (B32 - 1)</f>
        <v>30</v>
      </c>
      <c r="C60" t="s">
        <v>715</v>
      </c>
    </row>
    <row r="61" spans="1:3" x14ac:dyDescent="0.2">
      <c r="A61" t="s">
        <v>721</v>
      </c>
      <c r="B61" s="48">
        <f xml:space="preserve"> B59 * B60 * B55 / 1000 / 1000 / 1000</f>
        <v>44005.962071587935</v>
      </c>
      <c r="C61" t="s">
        <v>716</v>
      </c>
    </row>
    <row r="62" spans="1:3" x14ac:dyDescent="0.2">
      <c r="A62" t="s">
        <v>723</v>
      </c>
      <c r="B62" s="48">
        <f xml:space="preserve"> B59 * B60 * B55 / 1000 / 1000 / 1000 / B2</f>
        <v>4400.5962071587937</v>
      </c>
      <c r="C62" t="s">
        <v>716</v>
      </c>
    </row>
  </sheetData>
  <sheetProtection selectLockedCells="1" selectUnlockedCells="1"/>
  <dataConsolidate/>
  <printOptions gridLines="1"/>
  <pageMargins left="0.78749999999999998" right="0.78749999999999998" top="1.0249999999999999" bottom="1.0249999999999999" header="0.78749999999999998" footer="0.78749999999999998"/>
  <pageSetup scale="80" orientation="portrait" useFirstPageNumber="1" horizontalDpi="300" verticalDpi="300" r:id="rId1"/>
  <headerFooter alignWithMargins="0">
    <oddHeader>&amp;C&amp;A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G28"/>
  <sheetViews>
    <sheetView zoomScale="110" zoomScaleNormal="110" workbookViewId="0">
      <selection activeCell="F30" sqref="F30"/>
    </sheetView>
  </sheetViews>
  <sheetFormatPr defaultColWidth="11.5703125" defaultRowHeight="12.75" x14ac:dyDescent="0.2"/>
  <cols>
    <col min="1" max="1" width="24.42578125" customWidth="1"/>
    <col min="2" max="2" width="13.5703125" customWidth="1"/>
    <col min="4" max="4" width="12.42578125" customWidth="1"/>
    <col min="5" max="5" width="27.42578125" customWidth="1"/>
    <col min="6" max="6" width="11.42578125" customWidth="1"/>
  </cols>
  <sheetData>
    <row r="1" spans="1:7" x14ac:dyDescent="0.2">
      <c r="A1" s="1" t="s">
        <v>390</v>
      </c>
      <c r="B1" s="1" t="s">
        <v>391</v>
      </c>
      <c r="C1" s="1" t="s">
        <v>107</v>
      </c>
      <c r="E1" s="1" t="s">
        <v>392</v>
      </c>
      <c r="F1" s="1" t="s">
        <v>391</v>
      </c>
      <c r="G1" s="1" t="s">
        <v>107</v>
      </c>
    </row>
    <row r="2" spans="1:7" x14ac:dyDescent="0.2">
      <c r="A2" t="s">
        <v>198</v>
      </c>
      <c r="B2" s="32">
        <v>5000000</v>
      </c>
      <c r="C2" t="s">
        <v>128</v>
      </c>
      <c r="E2" s="6" t="s">
        <v>393</v>
      </c>
      <c r="F2" s="10">
        <f>'IID Cost Basis 2013'!F24</f>
        <v>206.97960914176002</v>
      </c>
      <c r="G2" t="s">
        <v>186</v>
      </c>
    </row>
    <row r="3" spans="1:7" x14ac:dyDescent="0.2">
      <c r="A3" t="s">
        <v>394</v>
      </c>
      <c r="B3" s="32">
        <v>50</v>
      </c>
      <c r="C3" t="s">
        <v>188</v>
      </c>
      <c r="E3" s="6" t="s">
        <v>395</v>
      </c>
      <c r="F3" s="2">
        <f>'IID Cost Basis 2013'!F48</f>
        <v>2.7125525276266669</v>
      </c>
      <c r="G3" t="s">
        <v>186</v>
      </c>
    </row>
    <row r="4" spans="1:7" x14ac:dyDescent="0.2">
      <c r="A4" t="s">
        <v>396</v>
      </c>
      <c r="B4" s="57">
        <v>13.7</v>
      </c>
      <c r="C4" t="s">
        <v>397</v>
      </c>
      <c r="E4" s="6" t="s">
        <v>398</v>
      </c>
      <c r="F4" s="58">
        <f>SUM(F2:F3)</f>
        <v>209.69216166938668</v>
      </c>
      <c r="G4" t="s">
        <v>186</v>
      </c>
    </row>
    <row r="5" spans="1:7" x14ac:dyDescent="0.2">
      <c r="A5" t="s">
        <v>399</v>
      </c>
      <c r="B5" s="32">
        <v>3</v>
      </c>
      <c r="C5" t="s">
        <v>66</v>
      </c>
      <c r="E5" s="6"/>
      <c r="F5" s="58"/>
    </row>
    <row r="6" spans="1:7" x14ac:dyDescent="0.2">
      <c r="A6" t="s">
        <v>400</v>
      </c>
      <c r="B6" s="32">
        <v>109000</v>
      </c>
      <c r="C6" t="s">
        <v>67</v>
      </c>
      <c r="E6" s="1" t="s">
        <v>401</v>
      </c>
      <c r="F6" s="1" t="s">
        <v>391</v>
      </c>
      <c r="G6" s="1" t="s">
        <v>107</v>
      </c>
    </row>
    <row r="7" spans="1:7" x14ac:dyDescent="0.2">
      <c r="A7" t="s">
        <v>199</v>
      </c>
      <c r="B7" s="41">
        <v>6.02</v>
      </c>
      <c r="E7" s="6" t="s">
        <v>402</v>
      </c>
      <c r="F7" s="2">
        <v>5</v>
      </c>
      <c r="G7" t="s">
        <v>186</v>
      </c>
    </row>
    <row r="8" spans="1:7" x14ac:dyDescent="0.2">
      <c r="A8" t="s">
        <v>200</v>
      </c>
      <c r="B8" s="32">
        <f>B2/B7</f>
        <v>830564.78405315615</v>
      </c>
      <c r="C8" t="s">
        <v>128</v>
      </c>
      <c r="E8" s="6" t="s">
        <v>403</v>
      </c>
      <c r="F8" s="5">
        <f>'Blended Water Cost 2013'!C5</f>
        <v>1000</v>
      </c>
      <c r="G8" t="s">
        <v>188</v>
      </c>
    </row>
    <row r="9" spans="1:7" x14ac:dyDescent="0.2">
      <c r="A9" t="s">
        <v>173</v>
      </c>
      <c r="B9" s="33">
        <f>B2/(B2+B8)</f>
        <v>0.85754985754985757</v>
      </c>
      <c r="E9" s="6" t="s">
        <v>404</v>
      </c>
      <c r="F9" s="15">
        <f>'Blended Water Cost 2013'!D14</f>
        <v>2.3333333333333335</v>
      </c>
    </row>
    <row r="10" spans="1:7" x14ac:dyDescent="0.2">
      <c r="A10" t="s">
        <v>130</v>
      </c>
      <c r="B10" s="4">
        <v>0.9</v>
      </c>
      <c r="E10" s="6" t="s">
        <v>405</v>
      </c>
      <c r="F10" s="2">
        <f>(F9*F4+1*B28)/(F9+1)+F7</f>
        <v>389.80796778481078</v>
      </c>
      <c r="G10" t="s">
        <v>186</v>
      </c>
    </row>
    <row r="11" spans="1:7" x14ac:dyDescent="0.2">
      <c r="B11" s="4"/>
      <c r="E11" s="6" t="s">
        <v>406</v>
      </c>
      <c r="F11" s="11">
        <f>(1*B2+F9*B2)/325853.383688</f>
        <v>51.147747732534725</v>
      </c>
      <c r="G11" t="s">
        <v>407</v>
      </c>
    </row>
    <row r="12" spans="1:7" x14ac:dyDescent="0.2">
      <c r="A12" s="1" t="s">
        <v>408</v>
      </c>
      <c r="B12" s="1"/>
      <c r="E12" s="6" t="s">
        <v>406</v>
      </c>
      <c r="F12" s="11">
        <f>F11*365*B$10</f>
        <v>16802.035130137658</v>
      </c>
      <c r="G12" t="s">
        <v>409</v>
      </c>
    </row>
    <row r="13" spans="1:7" x14ac:dyDescent="0.2">
      <c r="A13" t="s">
        <v>169</v>
      </c>
      <c r="B13" s="30">
        <f>'5MGD 15 Effect VTE Capital Cost'!B33</f>
        <v>25369589.325787447</v>
      </c>
      <c r="C13" t="s">
        <v>170</v>
      </c>
      <c r="E13" s="6" t="s">
        <v>410</v>
      </c>
      <c r="F13" s="11">
        <f>(B2+B8)/325853.383688</f>
        <v>17.893215402777095</v>
      </c>
      <c r="G13" t="s">
        <v>407</v>
      </c>
    </row>
    <row r="14" spans="1:7" x14ac:dyDescent="0.2">
      <c r="A14" t="s">
        <v>111</v>
      </c>
      <c r="B14">
        <v>30</v>
      </c>
      <c r="C14" t="s">
        <v>112</v>
      </c>
      <c r="E14" s="6" t="s">
        <v>410</v>
      </c>
      <c r="F14" s="11">
        <f>F13*365*B$10</f>
        <v>5877.9212598122758</v>
      </c>
      <c r="G14" t="s">
        <v>409</v>
      </c>
    </row>
    <row r="15" spans="1:7" x14ac:dyDescent="0.2">
      <c r="A15" t="s">
        <v>113</v>
      </c>
      <c r="B15" s="31">
        <v>0.08</v>
      </c>
      <c r="C15" t="s">
        <v>114</v>
      </c>
      <c r="E15" s="6" t="s">
        <v>411</v>
      </c>
      <c r="F15" s="2">
        <f>F4</f>
        <v>209.69216166938668</v>
      </c>
      <c r="G15" t="s">
        <v>186</v>
      </c>
    </row>
    <row r="16" spans="1:7" x14ac:dyDescent="0.2">
      <c r="A16" t="s">
        <v>115</v>
      </c>
      <c r="B16" s="35">
        <f>B13-CUMIPMT(B15/12,B14*12,B13,1,B14*12,1)</f>
        <v>66571292.626561895</v>
      </c>
      <c r="C16" t="s">
        <v>412</v>
      </c>
      <c r="E16" s="6" t="s">
        <v>413</v>
      </c>
      <c r="F16" s="58">
        <f>(F11*F10+F13*F4)/F11</f>
        <v>463.16539178410119</v>
      </c>
      <c r="G16" t="s">
        <v>186</v>
      </c>
    </row>
    <row r="17" spans="1:7" x14ac:dyDescent="0.2">
      <c r="A17" s="6" t="s">
        <v>116</v>
      </c>
      <c r="B17" s="35">
        <f>B16/B14</f>
        <v>2219043.0875520632</v>
      </c>
      <c r="C17" t="s">
        <v>114</v>
      </c>
    </row>
    <row r="18" spans="1:7" x14ac:dyDescent="0.2">
      <c r="A18" s="6" t="s">
        <v>181</v>
      </c>
      <c r="B18" s="32">
        <f>'5MGD 15 Effect Pump Specs kW'!H11*24</f>
        <v>15296.485294775601</v>
      </c>
      <c r="C18" t="s">
        <v>182</v>
      </c>
    </row>
    <row r="19" spans="1:7" x14ac:dyDescent="0.2">
      <c r="A19" s="6" t="s">
        <v>151</v>
      </c>
      <c r="B19" s="35">
        <v>0.14000000000000001</v>
      </c>
      <c r="C19" t="s">
        <v>183</v>
      </c>
    </row>
    <row r="20" spans="1:7" x14ac:dyDescent="0.2">
      <c r="A20" s="6" t="s">
        <v>153</v>
      </c>
      <c r="B20" s="35">
        <f>B18*B19*365*B10</f>
        <v>703485.35870672995</v>
      </c>
      <c r="C20" t="s">
        <v>114</v>
      </c>
    </row>
    <row r="21" spans="1:7" x14ac:dyDescent="0.2">
      <c r="A21" s="6" t="s">
        <v>201</v>
      </c>
      <c r="B21" s="35">
        <f>0.51/1000*$B$2*365</f>
        <v>930750</v>
      </c>
      <c r="C21" t="s">
        <v>114</v>
      </c>
    </row>
    <row r="22" spans="1:7" x14ac:dyDescent="0.2">
      <c r="A22" s="6" t="s">
        <v>175</v>
      </c>
      <c r="B22" s="35">
        <f>0.06/1000*$B$2*365</f>
        <v>109500</v>
      </c>
      <c r="C22" t="s">
        <v>114</v>
      </c>
    </row>
    <row r="23" spans="1:7" x14ac:dyDescent="0.2">
      <c r="A23" s="6" t="s">
        <v>180</v>
      </c>
      <c r="B23" s="35">
        <f>0.02/1000*$B$2*365</f>
        <v>36500.000000000007</v>
      </c>
      <c r="C23" t="s">
        <v>114</v>
      </c>
    </row>
    <row r="24" spans="1:7" x14ac:dyDescent="0.2">
      <c r="A24" s="6" t="s">
        <v>131</v>
      </c>
      <c r="B24" s="2">
        <f>B13/B2</f>
        <v>5.0739178651574894</v>
      </c>
      <c r="C24" t="s">
        <v>414</v>
      </c>
      <c r="E24" t="s">
        <v>415</v>
      </c>
      <c r="F24" s="5">
        <v>25000</v>
      </c>
      <c r="G24" t="s">
        <v>409</v>
      </c>
    </row>
    <row r="25" spans="1:7" x14ac:dyDescent="0.2">
      <c r="A25" s="6" t="s">
        <v>140</v>
      </c>
      <c r="B25" s="35">
        <f>SUM(B$20,B$21:B$23)</f>
        <v>1780235.35870673</v>
      </c>
      <c r="C25" t="s">
        <v>114</v>
      </c>
      <c r="E25" t="s">
        <v>416</v>
      </c>
      <c r="F25" s="5">
        <f>F12</f>
        <v>16802.035130137658</v>
      </c>
      <c r="G25" t="s">
        <v>409</v>
      </c>
    </row>
    <row r="26" spans="1:7" x14ac:dyDescent="0.2">
      <c r="A26" s="6" t="s">
        <v>155</v>
      </c>
      <c r="B26" s="35">
        <f>SUM(B$17,B$20,B$21:B$23)</f>
        <v>3999278.4462587931</v>
      </c>
      <c r="C26" t="s">
        <v>114</v>
      </c>
      <c r="E26" t="s">
        <v>417</v>
      </c>
      <c r="F26" s="59">
        <f>'IID Water Rate Calculator'!F6</f>
        <v>11360613.938763831</v>
      </c>
      <c r="G26" t="s">
        <v>114</v>
      </c>
    </row>
    <row r="27" spans="1:7" x14ac:dyDescent="0.2">
      <c r="A27" s="6" t="s">
        <v>208</v>
      </c>
      <c r="B27" s="12">
        <f>B26/(B2*365*B10/1000)</f>
        <v>2.4348727222275759</v>
      </c>
      <c r="C27" t="s">
        <v>185</v>
      </c>
      <c r="E27" t="s">
        <v>418</v>
      </c>
      <c r="F27" s="59">
        <f>F16*F25</f>
        <v>7782121.1838204395</v>
      </c>
      <c r="G27" t="s">
        <v>114</v>
      </c>
    </row>
    <row r="28" spans="1:7" x14ac:dyDescent="0.2">
      <c r="A28" s="6" t="s">
        <v>208</v>
      </c>
      <c r="B28" s="12">
        <f>B$26/(B$2*365*B$10/325853.383688)</f>
        <v>793.41151538746715</v>
      </c>
      <c r="C28" t="s">
        <v>186</v>
      </c>
      <c r="E28" t="s">
        <v>419</v>
      </c>
      <c r="F28" s="60">
        <f>F26-F27</f>
        <v>3578492.7549433913</v>
      </c>
      <c r="G28" t="s">
        <v>114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158"/>
  <sheetViews>
    <sheetView zoomScale="90" zoomScaleNormal="90" workbookViewId="0">
      <pane ySplit="1" topLeftCell="A2" activePane="bottomLeft" state="frozen"/>
      <selection pane="bottomLeft" activeCell="G160" sqref="G160"/>
    </sheetView>
  </sheetViews>
  <sheetFormatPr defaultColWidth="11.85546875" defaultRowHeight="12.75" x14ac:dyDescent="0.2"/>
  <cols>
    <col min="1" max="1" width="60" customWidth="1"/>
    <col min="2" max="2" width="7.85546875" customWidth="1"/>
    <col min="3" max="3" width="16.28515625" customWidth="1"/>
    <col min="4" max="4" width="14.5703125" customWidth="1"/>
    <col min="5" max="5" width="16.42578125" customWidth="1"/>
    <col min="6" max="6" width="16" customWidth="1"/>
    <col min="7" max="7" width="17.140625" customWidth="1"/>
    <col min="8" max="8" width="17.42578125" customWidth="1"/>
    <col min="9" max="11" width="17.5703125" customWidth="1"/>
    <col min="12" max="12" width="17.42578125" customWidth="1"/>
    <col min="13" max="13" width="18" customWidth="1"/>
    <col min="14" max="14" width="17.5703125" customWidth="1"/>
    <col min="15" max="15" width="18.5703125" customWidth="1"/>
    <col min="16" max="16" width="18.42578125" customWidth="1"/>
    <col min="17" max="17" width="18.85546875" customWidth="1"/>
    <col min="18" max="18" width="18.5703125" customWidth="1"/>
    <col min="19" max="19" width="19.140625" customWidth="1"/>
    <col min="20" max="21" width="18.85546875" customWidth="1"/>
    <col min="22" max="22" width="18.42578125" customWidth="1"/>
    <col min="23" max="23" width="18.85546875" customWidth="1"/>
    <col min="24" max="24" width="18.42578125" customWidth="1"/>
    <col min="25" max="25" width="18.7109375" customWidth="1"/>
    <col min="26" max="26" width="19" customWidth="1"/>
    <col min="27" max="27" width="19.140625" customWidth="1"/>
    <col min="28" max="29" width="19" customWidth="1"/>
    <col min="30" max="30" width="18.7109375" customWidth="1"/>
    <col min="31" max="31" width="18.42578125" customWidth="1"/>
    <col min="32" max="32" width="18.7109375" customWidth="1"/>
    <col min="33" max="33" width="19" customWidth="1"/>
    <col min="34" max="34" width="18.42578125" customWidth="1"/>
    <col min="35" max="35" width="18.85546875" customWidth="1"/>
    <col min="36" max="37" width="18.42578125" customWidth="1"/>
    <col min="38" max="38" width="19" customWidth="1"/>
    <col min="39" max="60" width="18.5703125" customWidth="1"/>
    <col min="61" max="61" width="6.42578125" customWidth="1"/>
  </cols>
  <sheetData>
    <row r="1" spans="1:61" x14ac:dyDescent="0.2">
      <c r="A1" t="s">
        <v>2</v>
      </c>
      <c r="B1" t="s">
        <v>738</v>
      </c>
      <c r="C1">
        <v>2020</v>
      </c>
      <c r="D1" s="3">
        <f t="shared" ref="D1:BH1" si="0">C1+1</f>
        <v>2021</v>
      </c>
      <c r="E1" s="3">
        <f t="shared" si="0"/>
        <v>2022</v>
      </c>
      <c r="F1" s="3">
        <f t="shared" si="0"/>
        <v>2023</v>
      </c>
      <c r="G1" s="3">
        <f t="shared" si="0"/>
        <v>2024</v>
      </c>
      <c r="H1" s="3">
        <f t="shared" si="0"/>
        <v>2025</v>
      </c>
      <c r="I1" s="3">
        <f t="shared" si="0"/>
        <v>2026</v>
      </c>
      <c r="J1" s="3">
        <f t="shared" si="0"/>
        <v>2027</v>
      </c>
      <c r="K1" s="3">
        <f t="shared" si="0"/>
        <v>2028</v>
      </c>
      <c r="L1" s="3">
        <f t="shared" si="0"/>
        <v>2029</v>
      </c>
      <c r="M1" s="3">
        <f t="shared" si="0"/>
        <v>2030</v>
      </c>
      <c r="N1" s="3">
        <f t="shared" si="0"/>
        <v>2031</v>
      </c>
      <c r="O1" s="3">
        <f t="shared" si="0"/>
        <v>2032</v>
      </c>
      <c r="P1" s="3">
        <f t="shared" si="0"/>
        <v>2033</v>
      </c>
      <c r="Q1" s="3">
        <f t="shared" si="0"/>
        <v>2034</v>
      </c>
      <c r="R1" s="3">
        <f t="shared" si="0"/>
        <v>2035</v>
      </c>
      <c r="S1" s="3">
        <f t="shared" si="0"/>
        <v>2036</v>
      </c>
      <c r="T1" s="3">
        <f t="shared" si="0"/>
        <v>2037</v>
      </c>
      <c r="U1" s="3">
        <f t="shared" si="0"/>
        <v>2038</v>
      </c>
      <c r="V1" s="3">
        <f t="shared" si="0"/>
        <v>2039</v>
      </c>
      <c r="W1" s="3">
        <f t="shared" si="0"/>
        <v>2040</v>
      </c>
      <c r="X1" s="3">
        <f t="shared" si="0"/>
        <v>2041</v>
      </c>
      <c r="Y1" s="3">
        <f t="shared" si="0"/>
        <v>2042</v>
      </c>
      <c r="Z1" s="3">
        <f t="shared" si="0"/>
        <v>2043</v>
      </c>
      <c r="AA1" s="3">
        <f t="shared" si="0"/>
        <v>2044</v>
      </c>
      <c r="AB1" s="3">
        <f t="shared" si="0"/>
        <v>2045</v>
      </c>
      <c r="AC1" s="3">
        <f t="shared" si="0"/>
        <v>2046</v>
      </c>
      <c r="AD1" s="3">
        <f t="shared" si="0"/>
        <v>2047</v>
      </c>
      <c r="AE1" s="3">
        <f t="shared" si="0"/>
        <v>2048</v>
      </c>
      <c r="AF1" s="3">
        <f t="shared" si="0"/>
        <v>2049</v>
      </c>
      <c r="AG1" s="3">
        <f t="shared" si="0"/>
        <v>2050</v>
      </c>
      <c r="AH1" s="3">
        <f t="shared" si="0"/>
        <v>2051</v>
      </c>
      <c r="AI1" s="3">
        <f t="shared" si="0"/>
        <v>2052</v>
      </c>
      <c r="AJ1" s="3">
        <f t="shared" si="0"/>
        <v>2053</v>
      </c>
      <c r="AK1" s="3">
        <f t="shared" si="0"/>
        <v>2054</v>
      </c>
      <c r="AL1" s="3">
        <f t="shared" si="0"/>
        <v>2055</v>
      </c>
      <c r="AM1" s="3">
        <f t="shared" si="0"/>
        <v>2056</v>
      </c>
      <c r="AN1" s="3">
        <f t="shared" si="0"/>
        <v>2057</v>
      </c>
      <c r="AO1" s="3">
        <f t="shared" si="0"/>
        <v>2058</v>
      </c>
      <c r="AP1" s="3">
        <f t="shared" si="0"/>
        <v>2059</v>
      </c>
      <c r="AQ1" s="3">
        <f t="shared" si="0"/>
        <v>2060</v>
      </c>
      <c r="AR1" s="3">
        <f t="shared" si="0"/>
        <v>2061</v>
      </c>
      <c r="AS1" s="3">
        <f t="shared" si="0"/>
        <v>2062</v>
      </c>
      <c r="AT1" s="3">
        <f t="shared" si="0"/>
        <v>2063</v>
      </c>
      <c r="AU1" s="3">
        <f t="shared" si="0"/>
        <v>2064</v>
      </c>
      <c r="AV1" s="3">
        <f t="shared" si="0"/>
        <v>2065</v>
      </c>
      <c r="AW1" s="3">
        <f t="shared" si="0"/>
        <v>2066</v>
      </c>
      <c r="AX1" s="3">
        <f t="shared" si="0"/>
        <v>2067</v>
      </c>
      <c r="AY1" s="3">
        <f t="shared" si="0"/>
        <v>2068</v>
      </c>
      <c r="AZ1" s="3">
        <f t="shared" si="0"/>
        <v>2069</v>
      </c>
      <c r="BA1" s="3">
        <f t="shared" si="0"/>
        <v>2070</v>
      </c>
      <c r="BB1" s="3">
        <f t="shared" si="0"/>
        <v>2071</v>
      </c>
      <c r="BC1" s="3">
        <f t="shared" si="0"/>
        <v>2072</v>
      </c>
      <c r="BD1" s="3">
        <f t="shared" si="0"/>
        <v>2073</v>
      </c>
      <c r="BE1" s="3">
        <f t="shared" si="0"/>
        <v>2074</v>
      </c>
      <c r="BF1" s="3">
        <f t="shared" si="0"/>
        <v>2075</v>
      </c>
      <c r="BG1" s="3">
        <f t="shared" si="0"/>
        <v>2076</v>
      </c>
      <c r="BH1" s="3">
        <f t="shared" si="0"/>
        <v>2077</v>
      </c>
      <c r="BI1" s="3"/>
    </row>
    <row r="2" spans="1:61" x14ac:dyDescent="0.2">
      <c r="A2" t="s">
        <v>827</v>
      </c>
      <c r="C2" s="212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3"/>
    </row>
    <row r="3" spans="1:61" x14ac:dyDescent="0.2">
      <c r="A3" t="s">
        <v>828</v>
      </c>
      <c r="C3" s="208"/>
      <c r="D3" s="208"/>
      <c r="E3" s="208"/>
      <c r="F3" s="208"/>
      <c r="G3" s="208"/>
      <c r="H3" s="208"/>
    </row>
    <row r="4" spans="1:61" s="82" customFormat="1" hidden="1" x14ac:dyDescent="0.2">
      <c r="A4" s="82" t="s">
        <v>3</v>
      </c>
      <c r="B4" s="156"/>
      <c r="C4" s="83">
        <f>'Management Team Cost'!$D$7</f>
        <v>936000</v>
      </c>
      <c r="D4" s="83">
        <f>'Management Team Cost'!$D$7</f>
        <v>936000</v>
      </c>
      <c r="E4" s="83">
        <f>'Management Team Cost'!$D$7</f>
        <v>936000</v>
      </c>
      <c r="F4" s="83">
        <f>'Management Team Cost'!$D$7</f>
        <v>936000</v>
      </c>
      <c r="G4" s="83">
        <f>'Management Team Cost'!$D$7</f>
        <v>936000</v>
      </c>
      <c r="H4" s="83">
        <f>'Management Team Cost'!$D$7</f>
        <v>936000</v>
      </c>
      <c r="I4" s="83">
        <f>'Management Team Cost'!$D$7</f>
        <v>936000</v>
      </c>
      <c r="J4" s="83">
        <f>'Management Team Cost'!$D$7</f>
        <v>936000</v>
      </c>
      <c r="K4" s="83">
        <f>'Management Team Cost'!$D$7</f>
        <v>936000</v>
      </c>
      <c r="L4" s="83">
        <f>'Management Team Cost'!$D$7</f>
        <v>936000</v>
      </c>
      <c r="M4" s="83">
        <f>'Management Team Cost'!$D$7</f>
        <v>936000</v>
      </c>
      <c r="N4" s="83">
        <f>'Management Team Cost'!$D$7</f>
        <v>936000</v>
      </c>
      <c r="O4" s="83">
        <f>'Management Team Cost'!$D$7</f>
        <v>936000</v>
      </c>
      <c r="P4" s="83">
        <f>'Management Team Cost'!$D$7</f>
        <v>936000</v>
      </c>
      <c r="Q4" s="83">
        <f>'Management Team Cost'!$D$7</f>
        <v>936000</v>
      </c>
      <c r="R4" s="83">
        <f>'Management Team Cost'!$D$7</f>
        <v>936000</v>
      </c>
      <c r="S4" s="83">
        <f>'Management Team Cost'!$D$7</f>
        <v>936000</v>
      </c>
      <c r="T4" s="83">
        <f>'Management Team Cost'!$D$7</f>
        <v>936000</v>
      </c>
      <c r="U4" s="83">
        <f>'Management Team Cost'!$D$7</f>
        <v>936000</v>
      </c>
      <c r="V4" s="83">
        <f>'Management Team Cost'!$D$7</f>
        <v>936000</v>
      </c>
      <c r="W4" s="83">
        <f>'Management Team Cost'!$D$7</f>
        <v>936000</v>
      </c>
      <c r="X4" s="83">
        <f>'Management Team Cost'!$D$7</f>
        <v>936000</v>
      </c>
      <c r="Y4" s="83">
        <f>'Management Team Cost'!$D$7</f>
        <v>936000</v>
      </c>
      <c r="Z4" s="83">
        <f>'Management Team Cost'!$D$7</f>
        <v>936000</v>
      </c>
      <c r="AA4" s="83">
        <f>'Management Team Cost'!$D$7</f>
        <v>936000</v>
      </c>
      <c r="AB4" s="83">
        <f>'Management Team Cost'!$D$7</f>
        <v>936000</v>
      </c>
      <c r="AC4" s="83">
        <f>'Management Team Cost'!$D$7</f>
        <v>936000</v>
      </c>
      <c r="AD4" s="83">
        <f>'Management Team Cost'!$D$7</f>
        <v>936000</v>
      </c>
      <c r="AE4" s="83">
        <f>'Management Team Cost'!$D$7</f>
        <v>936000</v>
      </c>
      <c r="AF4" s="83">
        <f>'Management Team Cost'!$D$7</f>
        <v>936000</v>
      </c>
      <c r="AG4" s="83">
        <f>'Management Team Cost'!$D$7</f>
        <v>936000</v>
      </c>
      <c r="AH4" s="83">
        <f>'Management Team Cost'!$D$7</f>
        <v>936000</v>
      </c>
      <c r="AI4" s="83">
        <f>'Management Team Cost'!$D$7</f>
        <v>936000</v>
      </c>
      <c r="AJ4" s="83">
        <f>'Management Team Cost'!$D$7</f>
        <v>936000</v>
      </c>
      <c r="AK4" s="83">
        <f>'Management Team Cost'!$D$7</f>
        <v>936000</v>
      </c>
      <c r="AL4" s="83">
        <f>'Management Team Cost'!$D$7</f>
        <v>936000</v>
      </c>
      <c r="AM4" s="83">
        <f>'Management Team Cost'!$D$7</f>
        <v>936000</v>
      </c>
      <c r="AN4" s="83">
        <f>'Management Team Cost'!$D$7</f>
        <v>936000</v>
      </c>
      <c r="AO4" s="83">
        <f>'Management Team Cost'!$D$7</f>
        <v>936000</v>
      </c>
      <c r="AP4" s="83">
        <f>'Management Team Cost'!$D$7</f>
        <v>936000</v>
      </c>
      <c r="AQ4" s="83">
        <f>'Management Team Cost'!$D$7</f>
        <v>936000</v>
      </c>
      <c r="AR4" s="83">
        <f>'Management Team Cost'!$D$7</f>
        <v>936000</v>
      </c>
      <c r="AS4" s="83">
        <f>'Management Team Cost'!$D$7</f>
        <v>936000</v>
      </c>
      <c r="AT4" s="83">
        <f>'Management Team Cost'!$D$7</f>
        <v>936000</v>
      </c>
      <c r="AU4" s="83">
        <f>'Management Team Cost'!$D$7</f>
        <v>936000</v>
      </c>
      <c r="AV4" s="83">
        <f>'Management Team Cost'!$D$7</f>
        <v>936000</v>
      </c>
      <c r="AW4" s="83">
        <f>'Management Team Cost'!$D$7</f>
        <v>936000</v>
      </c>
      <c r="AX4" s="83">
        <f>'Management Team Cost'!$D$7</f>
        <v>936000</v>
      </c>
      <c r="AY4" s="83">
        <f>'Management Team Cost'!$D$7</f>
        <v>936000</v>
      </c>
      <c r="AZ4" s="83">
        <f>'Management Team Cost'!$D$7</f>
        <v>936000</v>
      </c>
      <c r="BA4" s="83">
        <f>'Management Team Cost'!$D$7</f>
        <v>936000</v>
      </c>
      <c r="BB4" s="83">
        <f>'Management Team Cost'!$D$7</f>
        <v>936000</v>
      </c>
      <c r="BC4" s="83">
        <f>'Management Team Cost'!$D$7</f>
        <v>936000</v>
      </c>
      <c r="BD4" s="83">
        <f>'Management Team Cost'!$D$7</f>
        <v>936000</v>
      </c>
      <c r="BE4" s="83">
        <f>'Management Team Cost'!$D$7</f>
        <v>936000</v>
      </c>
      <c r="BF4" s="83">
        <f>'Management Team Cost'!$D$7</f>
        <v>936000</v>
      </c>
      <c r="BG4" s="83">
        <f>'Management Team Cost'!$D$7</f>
        <v>936000</v>
      </c>
      <c r="BH4" s="83">
        <f>'Management Team Cost'!$D$7</f>
        <v>936000</v>
      </c>
      <c r="BI4" s="83"/>
    </row>
    <row r="5" spans="1:61" s="82" customFormat="1" hidden="1" x14ac:dyDescent="0.2">
      <c r="A5" s="82" t="s">
        <v>4</v>
      </c>
      <c r="B5" s="156"/>
      <c r="C5" s="83">
        <f>'Management Team Cost'!$D$18</f>
        <v>97160</v>
      </c>
      <c r="D5" s="83">
        <f>'Management Team Cost'!$D$18</f>
        <v>97160</v>
      </c>
      <c r="E5" s="83">
        <f>'Management Team Cost'!$D$18</f>
        <v>97160</v>
      </c>
      <c r="F5" s="83">
        <f>'Management Team Cost'!$D$18</f>
        <v>97160</v>
      </c>
      <c r="G5" s="83">
        <f>'Management Team Cost'!$D$18</f>
        <v>97160</v>
      </c>
      <c r="H5" s="83">
        <f>'Management Team Cost'!$D$18</f>
        <v>97160</v>
      </c>
      <c r="I5" s="83">
        <f>'Management Team Cost'!$D$18</f>
        <v>97160</v>
      </c>
      <c r="J5" s="83">
        <f>'Management Team Cost'!$D$18</f>
        <v>97160</v>
      </c>
      <c r="K5" s="83">
        <f>'Management Team Cost'!$D$18</f>
        <v>97160</v>
      </c>
      <c r="L5" s="83">
        <f>'Management Team Cost'!$D$18</f>
        <v>97160</v>
      </c>
      <c r="M5" s="83">
        <f>'Management Team Cost'!$D$18</f>
        <v>97160</v>
      </c>
      <c r="N5" s="83">
        <f>'Management Team Cost'!$D$18</f>
        <v>97160</v>
      </c>
      <c r="O5" s="83">
        <f>'Management Team Cost'!$D$18</f>
        <v>97160</v>
      </c>
      <c r="P5" s="83">
        <f>'Management Team Cost'!$D$18</f>
        <v>97160</v>
      </c>
      <c r="Q5" s="83">
        <f>'Management Team Cost'!$D$18</f>
        <v>97160</v>
      </c>
      <c r="R5" s="83">
        <f>'Management Team Cost'!$D$18</f>
        <v>97160</v>
      </c>
      <c r="S5" s="83">
        <f>'Management Team Cost'!$D$18</f>
        <v>97160</v>
      </c>
      <c r="T5" s="83">
        <f>'Management Team Cost'!$D$18</f>
        <v>97160</v>
      </c>
      <c r="U5" s="83">
        <f>'Management Team Cost'!$D$18</f>
        <v>97160</v>
      </c>
      <c r="V5" s="83">
        <f>'Management Team Cost'!$D$18</f>
        <v>97160</v>
      </c>
      <c r="W5" s="83">
        <f>'Management Team Cost'!$D$18</f>
        <v>97160</v>
      </c>
      <c r="X5" s="83">
        <f>'Management Team Cost'!$D$18</f>
        <v>97160</v>
      </c>
      <c r="Y5" s="83">
        <f>'Management Team Cost'!$D$18</f>
        <v>97160</v>
      </c>
      <c r="Z5" s="83">
        <f>'Management Team Cost'!$D$18</f>
        <v>97160</v>
      </c>
      <c r="AA5" s="83">
        <f>'Management Team Cost'!$D$18</f>
        <v>97160</v>
      </c>
      <c r="AB5" s="83">
        <f>'Management Team Cost'!$D$18</f>
        <v>97160</v>
      </c>
      <c r="AC5" s="83">
        <f>'Management Team Cost'!$D$18</f>
        <v>97160</v>
      </c>
      <c r="AD5" s="83">
        <f>'Management Team Cost'!$D$18</f>
        <v>97160</v>
      </c>
      <c r="AE5" s="83">
        <f>'Management Team Cost'!$D$18</f>
        <v>97160</v>
      </c>
      <c r="AF5" s="83">
        <f>'Management Team Cost'!$D$18</f>
        <v>97160</v>
      </c>
      <c r="AG5" s="83">
        <f>'Management Team Cost'!$D$18</f>
        <v>97160</v>
      </c>
      <c r="AH5" s="83">
        <f>'Management Team Cost'!$D$18</f>
        <v>97160</v>
      </c>
      <c r="AI5" s="83">
        <f>'Management Team Cost'!$D$18</f>
        <v>97160</v>
      </c>
      <c r="AJ5" s="83">
        <f>'Management Team Cost'!$D$18</f>
        <v>97160</v>
      </c>
      <c r="AK5" s="83">
        <f>'Management Team Cost'!$D$18</f>
        <v>97160</v>
      </c>
      <c r="AL5" s="83">
        <f>'Management Team Cost'!$D$18</f>
        <v>97160</v>
      </c>
      <c r="AM5" s="83">
        <f>'Management Team Cost'!$D$18</f>
        <v>97160</v>
      </c>
      <c r="AN5" s="83">
        <f>'Management Team Cost'!$D$18</f>
        <v>97160</v>
      </c>
      <c r="AO5" s="83">
        <f>'Management Team Cost'!$D$18</f>
        <v>97160</v>
      </c>
      <c r="AP5" s="83">
        <f>'Management Team Cost'!$D$18</f>
        <v>97160</v>
      </c>
      <c r="AQ5" s="83">
        <f>'Management Team Cost'!$D$18</f>
        <v>97160</v>
      </c>
      <c r="AR5" s="83">
        <f>'Management Team Cost'!$D$18</f>
        <v>97160</v>
      </c>
      <c r="AS5" s="83">
        <f>'Management Team Cost'!$D$18</f>
        <v>97160</v>
      </c>
      <c r="AT5" s="83">
        <f>'Management Team Cost'!$D$18</f>
        <v>97160</v>
      </c>
      <c r="AU5" s="83">
        <f>'Management Team Cost'!$D$18</f>
        <v>97160</v>
      </c>
      <c r="AV5" s="83">
        <f>'Management Team Cost'!$D$18</f>
        <v>97160</v>
      </c>
      <c r="AW5" s="83">
        <f>'Management Team Cost'!$D$18</f>
        <v>97160</v>
      </c>
      <c r="AX5" s="83">
        <f>'Management Team Cost'!$D$18</f>
        <v>97160</v>
      </c>
      <c r="AY5" s="83">
        <f>'Management Team Cost'!$D$18</f>
        <v>97160</v>
      </c>
      <c r="AZ5" s="83">
        <f>'Management Team Cost'!$D$18</f>
        <v>97160</v>
      </c>
      <c r="BA5" s="83">
        <f>'Management Team Cost'!$D$18</f>
        <v>97160</v>
      </c>
      <c r="BB5" s="83">
        <f>'Management Team Cost'!$D$18</f>
        <v>97160</v>
      </c>
      <c r="BC5" s="83">
        <f>'Management Team Cost'!$D$18</f>
        <v>97160</v>
      </c>
      <c r="BD5" s="83">
        <f>'Management Team Cost'!$D$18</f>
        <v>97160</v>
      </c>
      <c r="BE5" s="83">
        <f>'Management Team Cost'!$D$18</f>
        <v>97160</v>
      </c>
      <c r="BF5" s="83">
        <f>'Management Team Cost'!$D$18</f>
        <v>97160</v>
      </c>
      <c r="BG5" s="83">
        <f>'Management Team Cost'!$D$18</f>
        <v>97160</v>
      </c>
      <c r="BH5" s="83">
        <f>'Management Team Cost'!$D$18</f>
        <v>97160</v>
      </c>
      <c r="BI5" s="83"/>
    </row>
    <row r="6" spans="1:61" s="82" customFormat="1" hidden="1" x14ac:dyDescent="0.2">
      <c r="A6" s="82" t="s">
        <v>5</v>
      </c>
      <c r="B6" s="156"/>
      <c r="C6" s="83">
        <f>'Engineering Team Cost'!$D$9</f>
        <v>1313000</v>
      </c>
      <c r="D6" s="83">
        <f>'Engineering Team Cost'!$D$9</f>
        <v>1313000</v>
      </c>
      <c r="E6" s="83">
        <f>'Engineering Team Cost'!$D$9</f>
        <v>1313000</v>
      </c>
      <c r="F6" s="83">
        <f>'Engineering Team Cost'!$D$9</f>
        <v>1313000</v>
      </c>
      <c r="G6" s="83">
        <f>'Engineering Team Cost'!$D$9</f>
        <v>1313000</v>
      </c>
      <c r="H6" s="83">
        <f>'Engineering Team Cost'!$D$9</f>
        <v>1313000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83"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  <c r="AS6" s="83">
        <v>0</v>
      </c>
      <c r="AT6" s="83">
        <v>0</v>
      </c>
      <c r="AU6" s="83">
        <v>0</v>
      </c>
      <c r="AV6" s="83">
        <v>0</v>
      </c>
      <c r="AW6" s="83">
        <v>0</v>
      </c>
      <c r="AX6" s="83">
        <v>0</v>
      </c>
      <c r="AY6" s="83">
        <v>0</v>
      </c>
      <c r="AZ6" s="83">
        <v>0</v>
      </c>
      <c r="BA6" s="83">
        <v>0</v>
      </c>
      <c r="BB6" s="83">
        <v>0</v>
      </c>
      <c r="BC6" s="83">
        <v>0</v>
      </c>
      <c r="BD6" s="83">
        <v>0</v>
      </c>
      <c r="BE6" s="83">
        <v>0</v>
      </c>
      <c r="BF6" s="83">
        <v>0</v>
      </c>
      <c r="BG6" s="83">
        <v>0</v>
      </c>
      <c r="BH6" s="83">
        <v>0</v>
      </c>
      <c r="BI6" s="83"/>
    </row>
    <row r="7" spans="1:61" s="82" customFormat="1" hidden="1" x14ac:dyDescent="0.2">
      <c r="A7" s="82" t="s">
        <v>6</v>
      </c>
      <c r="B7" s="156"/>
      <c r="C7" s="83">
        <f>'Engineering Team Cost'!$D$15</f>
        <v>25000</v>
      </c>
      <c r="D7" s="83">
        <f>'Engineering Team Cost'!$D$15</f>
        <v>25000</v>
      </c>
      <c r="E7" s="83">
        <f>'Engineering Team Cost'!$D$15</f>
        <v>25000</v>
      </c>
      <c r="F7" s="83">
        <f>'Engineering Team Cost'!$D$15</f>
        <v>25000</v>
      </c>
      <c r="G7" s="83">
        <f>'Engineering Team Cost'!$D$15</f>
        <v>25000</v>
      </c>
      <c r="H7" s="83">
        <f>'Engineering Team Cost'!$D$15</f>
        <v>25000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83">
        <v>0</v>
      </c>
      <c r="AN7" s="83">
        <v>0</v>
      </c>
      <c r="AO7" s="83">
        <v>0</v>
      </c>
      <c r="AP7" s="83">
        <v>0</v>
      </c>
      <c r="AQ7" s="83">
        <v>0</v>
      </c>
      <c r="AR7" s="83">
        <v>0</v>
      </c>
      <c r="AS7" s="83">
        <v>0</v>
      </c>
      <c r="AT7" s="83">
        <v>0</v>
      </c>
      <c r="AU7" s="83">
        <v>0</v>
      </c>
      <c r="AV7" s="83">
        <v>0</v>
      </c>
      <c r="AW7" s="83">
        <v>0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</v>
      </c>
      <c r="BF7" s="83">
        <v>0</v>
      </c>
      <c r="BG7" s="83">
        <v>0</v>
      </c>
      <c r="BH7" s="83">
        <v>0</v>
      </c>
      <c r="BI7" s="83"/>
    </row>
    <row r="8" spans="1:61" s="82" customFormat="1" hidden="1" x14ac:dyDescent="0.2">
      <c r="A8" s="82" t="s">
        <v>7</v>
      </c>
      <c r="B8" s="156"/>
      <c r="C8" s="83">
        <f t="shared" ref="C8:AM8" si="1">SUM(C4:C7)</f>
        <v>2371160</v>
      </c>
      <c r="D8" s="83">
        <f t="shared" si="1"/>
        <v>2371160</v>
      </c>
      <c r="E8" s="83">
        <f t="shared" si="1"/>
        <v>2371160</v>
      </c>
      <c r="F8" s="83">
        <f t="shared" si="1"/>
        <v>2371160</v>
      </c>
      <c r="G8" s="83">
        <f t="shared" si="1"/>
        <v>2371160</v>
      </c>
      <c r="H8" s="83">
        <f t="shared" si="1"/>
        <v>2371160</v>
      </c>
      <c r="I8" s="83">
        <f t="shared" si="1"/>
        <v>1033160</v>
      </c>
      <c r="J8" s="83">
        <f t="shared" si="1"/>
        <v>1033160</v>
      </c>
      <c r="K8" s="83">
        <f t="shared" si="1"/>
        <v>1033160</v>
      </c>
      <c r="L8" s="83">
        <f t="shared" si="1"/>
        <v>1033160</v>
      </c>
      <c r="M8" s="83">
        <f t="shared" si="1"/>
        <v>1033160</v>
      </c>
      <c r="N8" s="83">
        <f t="shared" si="1"/>
        <v>1033160</v>
      </c>
      <c r="O8" s="83">
        <f t="shared" si="1"/>
        <v>1033160</v>
      </c>
      <c r="P8" s="83">
        <f t="shared" si="1"/>
        <v>1033160</v>
      </c>
      <c r="Q8" s="83">
        <f t="shared" si="1"/>
        <v>1033160</v>
      </c>
      <c r="R8" s="83">
        <f t="shared" si="1"/>
        <v>1033160</v>
      </c>
      <c r="S8" s="83">
        <f t="shared" si="1"/>
        <v>1033160</v>
      </c>
      <c r="T8" s="83">
        <f t="shared" si="1"/>
        <v>1033160</v>
      </c>
      <c r="U8" s="83">
        <f t="shared" si="1"/>
        <v>1033160</v>
      </c>
      <c r="V8" s="83">
        <f t="shared" si="1"/>
        <v>1033160</v>
      </c>
      <c r="W8" s="83">
        <f t="shared" si="1"/>
        <v>1033160</v>
      </c>
      <c r="X8" s="83">
        <f t="shared" si="1"/>
        <v>1033160</v>
      </c>
      <c r="Y8" s="83">
        <f t="shared" si="1"/>
        <v>1033160</v>
      </c>
      <c r="Z8" s="83">
        <f t="shared" si="1"/>
        <v>1033160</v>
      </c>
      <c r="AA8" s="83">
        <f t="shared" si="1"/>
        <v>1033160</v>
      </c>
      <c r="AB8" s="83">
        <f t="shared" si="1"/>
        <v>1033160</v>
      </c>
      <c r="AC8" s="83">
        <f t="shared" si="1"/>
        <v>1033160</v>
      </c>
      <c r="AD8" s="83">
        <f t="shared" si="1"/>
        <v>1033160</v>
      </c>
      <c r="AE8" s="83">
        <f t="shared" si="1"/>
        <v>1033160</v>
      </c>
      <c r="AF8" s="83">
        <f t="shared" si="1"/>
        <v>1033160</v>
      </c>
      <c r="AG8" s="83">
        <f t="shared" si="1"/>
        <v>1033160</v>
      </c>
      <c r="AH8" s="83">
        <f t="shared" si="1"/>
        <v>1033160</v>
      </c>
      <c r="AI8" s="83">
        <f t="shared" si="1"/>
        <v>1033160</v>
      </c>
      <c r="AJ8" s="83">
        <f t="shared" si="1"/>
        <v>1033160</v>
      </c>
      <c r="AK8" s="83">
        <f t="shared" si="1"/>
        <v>1033160</v>
      </c>
      <c r="AL8" s="83">
        <f t="shared" si="1"/>
        <v>1033160</v>
      </c>
      <c r="AM8" s="83">
        <f t="shared" si="1"/>
        <v>1033160</v>
      </c>
      <c r="AN8" s="83">
        <f t="shared" ref="AN8:BH8" si="2">SUM(AN4:AN7)</f>
        <v>1033160</v>
      </c>
      <c r="AO8" s="83">
        <f t="shared" si="2"/>
        <v>1033160</v>
      </c>
      <c r="AP8" s="83">
        <f t="shared" si="2"/>
        <v>1033160</v>
      </c>
      <c r="AQ8" s="83">
        <f t="shared" si="2"/>
        <v>1033160</v>
      </c>
      <c r="AR8" s="83">
        <f t="shared" si="2"/>
        <v>1033160</v>
      </c>
      <c r="AS8" s="83">
        <f t="shared" si="2"/>
        <v>1033160</v>
      </c>
      <c r="AT8" s="83">
        <f t="shared" si="2"/>
        <v>1033160</v>
      </c>
      <c r="AU8" s="83">
        <f t="shared" si="2"/>
        <v>1033160</v>
      </c>
      <c r="AV8" s="83">
        <f t="shared" si="2"/>
        <v>1033160</v>
      </c>
      <c r="AW8" s="83">
        <f t="shared" si="2"/>
        <v>1033160</v>
      </c>
      <c r="AX8" s="83">
        <f t="shared" si="2"/>
        <v>1033160</v>
      </c>
      <c r="AY8" s="83">
        <f t="shared" si="2"/>
        <v>1033160</v>
      </c>
      <c r="AZ8" s="83">
        <f t="shared" si="2"/>
        <v>1033160</v>
      </c>
      <c r="BA8" s="83">
        <f t="shared" si="2"/>
        <v>1033160</v>
      </c>
      <c r="BB8" s="83">
        <f t="shared" si="2"/>
        <v>1033160</v>
      </c>
      <c r="BC8" s="83">
        <f t="shared" si="2"/>
        <v>1033160</v>
      </c>
      <c r="BD8" s="83">
        <f t="shared" si="2"/>
        <v>1033160</v>
      </c>
      <c r="BE8" s="83">
        <f t="shared" si="2"/>
        <v>1033160</v>
      </c>
      <c r="BF8" s="83">
        <f t="shared" si="2"/>
        <v>1033160</v>
      </c>
      <c r="BG8" s="83">
        <f t="shared" si="2"/>
        <v>1033160</v>
      </c>
      <c r="BH8" s="83">
        <f t="shared" si="2"/>
        <v>1033160</v>
      </c>
      <c r="BI8" s="83"/>
    </row>
    <row r="9" spans="1:61" s="104" customFormat="1" x14ac:dyDescent="0.2">
      <c r="B9" s="160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</row>
    <row r="10" spans="1:61" x14ac:dyDescent="0.2">
      <c r="A10" s="199" t="s">
        <v>830</v>
      </c>
      <c r="B10" s="31"/>
    </row>
    <row r="11" spans="1:61" x14ac:dyDescent="0.2">
      <c r="A11" s="132" t="s">
        <v>823</v>
      </c>
      <c r="B11" s="31"/>
      <c r="C11" s="211"/>
      <c r="D11" s="211"/>
      <c r="E11" s="211"/>
      <c r="F11" s="211"/>
      <c r="G11" s="211"/>
      <c r="H11" s="104"/>
      <c r="I11" s="104"/>
    </row>
    <row r="12" spans="1:61" x14ac:dyDescent="0.2">
      <c r="A12" s="132" t="s">
        <v>824</v>
      </c>
      <c r="B12" s="31"/>
      <c r="F12" s="208"/>
      <c r="G12" s="208"/>
      <c r="H12" s="208"/>
      <c r="I12" s="208"/>
      <c r="J12" s="208"/>
      <c r="K12" s="208"/>
      <c r="L12" s="104"/>
      <c r="M12" s="104"/>
    </row>
    <row r="13" spans="1:61" x14ac:dyDescent="0.2">
      <c r="A13" s="132" t="s">
        <v>825</v>
      </c>
      <c r="B13" s="31"/>
      <c r="J13" s="209"/>
      <c r="K13" s="209"/>
      <c r="L13" s="209"/>
      <c r="M13" s="198"/>
    </row>
    <row r="14" spans="1:61" x14ac:dyDescent="0.2">
      <c r="A14" s="132" t="s">
        <v>829</v>
      </c>
      <c r="B14" s="31"/>
      <c r="J14" s="104"/>
      <c r="K14" s="104"/>
      <c r="L14" s="104"/>
      <c r="M14" s="214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1" s="200" customFormat="1" x14ac:dyDescent="0.2">
      <c r="A15" s="200" t="s">
        <v>805</v>
      </c>
      <c r="B15" s="201"/>
      <c r="C15" s="200">
        <v>0</v>
      </c>
      <c r="D15" s="200">
        <v>0</v>
      </c>
      <c r="E15" s="200">
        <v>0</v>
      </c>
      <c r="F15" s="200">
        <v>0</v>
      </c>
      <c r="G15" s="200">
        <v>0</v>
      </c>
      <c r="H15" s="200">
        <v>0</v>
      </c>
      <c r="I15" s="200">
        <v>0</v>
      </c>
      <c r="J15" s="200">
        <v>0</v>
      </c>
      <c r="K15" s="200">
        <v>0</v>
      </c>
      <c r="L15" s="200">
        <v>0</v>
      </c>
      <c r="M15" s="202">
        <v>900000</v>
      </c>
      <c r="N15" s="202">
        <v>900000</v>
      </c>
      <c r="O15" s="202">
        <v>900000</v>
      </c>
      <c r="P15" s="202">
        <v>900000</v>
      </c>
      <c r="Q15" s="202">
        <v>900000</v>
      </c>
      <c r="R15" s="202">
        <v>900000</v>
      </c>
      <c r="S15" s="202">
        <v>900000</v>
      </c>
      <c r="T15" s="202">
        <v>900000</v>
      </c>
      <c r="U15" s="202">
        <v>900000</v>
      </c>
      <c r="V15" s="202">
        <v>900000</v>
      </c>
      <c r="W15" s="202">
        <v>900000</v>
      </c>
      <c r="X15" s="202">
        <v>900000</v>
      </c>
      <c r="Y15" s="202">
        <v>900000</v>
      </c>
      <c r="Z15" s="202">
        <v>900000</v>
      </c>
      <c r="AA15" s="202">
        <v>900000</v>
      </c>
      <c r="AB15" s="202">
        <v>900000</v>
      </c>
      <c r="AC15" s="202">
        <v>900000</v>
      </c>
      <c r="AD15" s="202">
        <v>900000</v>
      </c>
      <c r="AE15" s="202">
        <v>900000</v>
      </c>
      <c r="AF15" s="202">
        <v>900000</v>
      </c>
      <c r="AG15" s="202">
        <v>900000</v>
      </c>
      <c r="AH15" s="202">
        <v>900000</v>
      </c>
      <c r="AI15" s="202">
        <v>900000</v>
      </c>
      <c r="AJ15" s="202">
        <v>900000</v>
      </c>
      <c r="AK15" s="202">
        <v>900000</v>
      </c>
      <c r="AL15" s="202">
        <v>900000</v>
      </c>
      <c r="AM15" s="202">
        <v>900000</v>
      </c>
      <c r="AN15" s="202">
        <v>900000</v>
      </c>
      <c r="AO15" s="202">
        <v>900000</v>
      </c>
      <c r="AP15" s="202">
        <v>900000</v>
      </c>
      <c r="AQ15" s="202">
        <v>900000</v>
      </c>
      <c r="AR15" s="202">
        <v>900000</v>
      </c>
      <c r="AS15" s="202">
        <v>900000</v>
      </c>
      <c r="AT15" s="202">
        <v>900000</v>
      </c>
      <c r="AU15" s="202">
        <v>900000</v>
      </c>
      <c r="AV15" s="202">
        <v>900000</v>
      </c>
      <c r="AW15" s="202">
        <v>900000</v>
      </c>
      <c r="AX15" s="202">
        <v>900000</v>
      </c>
      <c r="AY15" s="202">
        <v>900000</v>
      </c>
      <c r="AZ15" s="202">
        <v>900000</v>
      </c>
      <c r="BA15" s="202">
        <v>900000</v>
      </c>
      <c r="BB15" s="202">
        <v>900000</v>
      </c>
      <c r="BC15" s="202">
        <v>900000</v>
      </c>
      <c r="BD15" s="202">
        <v>900000</v>
      </c>
      <c r="BE15" s="202">
        <v>900000</v>
      </c>
      <c r="BF15" s="202">
        <v>900000</v>
      </c>
      <c r="BG15" s="202">
        <v>900000</v>
      </c>
      <c r="BH15" s="202">
        <v>900000</v>
      </c>
    </row>
    <row r="16" spans="1:61" hidden="1" x14ac:dyDescent="0.2">
      <c r="A16" s="82" t="s">
        <v>803</v>
      </c>
      <c r="B16" s="83">
        <v>60</v>
      </c>
      <c r="C16" s="83">
        <f t="shared" ref="C16:N17" si="3" xml:space="preserve"> $B16 * C$15</f>
        <v>0</v>
      </c>
      <c r="D16" s="83">
        <f t="shared" si="3"/>
        <v>0</v>
      </c>
      <c r="E16" s="83">
        <f t="shared" si="3"/>
        <v>0</v>
      </c>
      <c r="F16" s="83">
        <f t="shared" si="3"/>
        <v>0</v>
      </c>
      <c r="G16" s="83">
        <f t="shared" si="3"/>
        <v>0</v>
      </c>
      <c r="H16" s="83">
        <f t="shared" si="3"/>
        <v>0</v>
      </c>
      <c r="I16" s="83">
        <f t="shared" si="3"/>
        <v>0</v>
      </c>
      <c r="J16" s="83">
        <f t="shared" si="3"/>
        <v>0</v>
      </c>
      <c r="K16" s="83">
        <f t="shared" si="3"/>
        <v>0</v>
      </c>
      <c r="L16" s="83">
        <f t="shared" si="3"/>
        <v>0</v>
      </c>
      <c r="M16" s="83">
        <f t="shared" si="3"/>
        <v>54000000</v>
      </c>
      <c r="N16" s="83">
        <f t="shared" si="3"/>
        <v>54000000</v>
      </c>
      <c r="O16" s="83">
        <f xml:space="preserve"> $B16 * O$15</f>
        <v>54000000</v>
      </c>
      <c r="P16" s="83">
        <f t="shared" ref="P16:AP17" si="4" xml:space="preserve"> $B16 * P$15</f>
        <v>54000000</v>
      </c>
      <c r="Q16" s="83">
        <f t="shared" si="4"/>
        <v>54000000</v>
      </c>
      <c r="R16" s="83">
        <f t="shared" si="4"/>
        <v>54000000</v>
      </c>
      <c r="S16" s="83">
        <f t="shared" si="4"/>
        <v>54000000</v>
      </c>
      <c r="T16" s="83">
        <f t="shared" si="4"/>
        <v>54000000</v>
      </c>
      <c r="U16" s="83">
        <f t="shared" si="4"/>
        <v>54000000</v>
      </c>
      <c r="V16" s="83">
        <f t="shared" si="4"/>
        <v>54000000</v>
      </c>
      <c r="W16" s="83">
        <f t="shared" si="4"/>
        <v>54000000</v>
      </c>
      <c r="X16" s="83">
        <f t="shared" si="4"/>
        <v>54000000</v>
      </c>
      <c r="Y16" s="83">
        <f t="shared" si="4"/>
        <v>54000000</v>
      </c>
      <c r="Z16" s="83">
        <f t="shared" si="4"/>
        <v>54000000</v>
      </c>
      <c r="AA16" s="83">
        <f t="shared" si="4"/>
        <v>54000000</v>
      </c>
      <c r="AB16" s="83">
        <f t="shared" si="4"/>
        <v>54000000</v>
      </c>
      <c r="AC16" s="83">
        <f t="shared" si="4"/>
        <v>54000000</v>
      </c>
      <c r="AD16" s="83">
        <f t="shared" si="4"/>
        <v>54000000</v>
      </c>
      <c r="AE16" s="83">
        <f t="shared" si="4"/>
        <v>54000000</v>
      </c>
      <c r="AF16" s="83">
        <f t="shared" si="4"/>
        <v>54000000</v>
      </c>
      <c r="AG16" s="83">
        <f t="shared" si="4"/>
        <v>54000000</v>
      </c>
      <c r="AH16" s="83">
        <f t="shared" si="4"/>
        <v>54000000</v>
      </c>
      <c r="AI16" s="83">
        <f t="shared" si="4"/>
        <v>54000000</v>
      </c>
      <c r="AJ16" s="83">
        <f t="shared" si="4"/>
        <v>54000000</v>
      </c>
      <c r="AK16" s="83">
        <f t="shared" si="4"/>
        <v>54000000</v>
      </c>
      <c r="AL16" s="83">
        <f t="shared" si="4"/>
        <v>54000000</v>
      </c>
      <c r="AM16" s="83">
        <f t="shared" si="4"/>
        <v>54000000</v>
      </c>
      <c r="AN16" s="83">
        <f t="shared" si="4"/>
        <v>54000000</v>
      </c>
      <c r="AO16" s="83">
        <f t="shared" si="4"/>
        <v>54000000</v>
      </c>
      <c r="AP16" s="83">
        <f t="shared" si="4"/>
        <v>54000000</v>
      </c>
      <c r="AQ16" s="83">
        <f t="shared" ref="AQ16:BF17" si="5" xml:space="preserve"> $B16 * AQ$15</f>
        <v>54000000</v>
      </c>
      <c r="AR16" s="83">
        <f t="shared" si="5"/>
        <v>54000000</v>
      </c>
      <c r="AS16" s="83">
        <f t="shared" si="5"/>
        <v>54000000</v>
      </c>
      <c r="AT16" s="83">
        <f t="shared" si="5"/>
        <v>54000000</v>
      </c>
      <c r="AU16" s="83">
        <f t="shared" si="5"/>
        <v>54000000</v>
      </c>
      <c r="AV16" s="83">
        <f t="shared" si="5"/>
        <v>54000000</v>
      </c>
      <c r="AW16" s="83">
        <f t="shared" si="5"/>
        <v>54000000</v>
      </c>
      <c r="AX16" s="83">
        <f t="shared" si="5"/>
        <v>54000000</v>
      </c>
      <c r="AY16" s="83">
        <f t="shared" si="5"/>
        <v>54000000</v>
      </c>
      <c r="AZ16" s="83">
        <f t="shared" si="5"/>
        <v>54000000</v>
      </c>
      <c r="BA16" s="83">
        <f t="shared" si="5"/>
        <v>54000000</v>
      </c>
      <c r="BB16" s="83">
        <f t="shared" si="5"/>
        <v>54000000</v>
      </c>
      <c r="BC16" s="83">
        <f t="shared" si="5"/>
        <v>54000000</v>
      </c>
      <c r="BD16" s="83">
        <f t="shared" si="5"/>
        <v>54000000</v>
      </c>
      <c r="BE16" s="83">
        <f t="shared" si="5"/>
        <v>54000000</v>
      </c>
      <c r="BF16" s="83">
        <f t="shared" si="5"/>
        <v>54000000</v>
      </c>
      <c r="BG16" s="83">
        <f t="shared" ref="BB16:BH17" si="6" xml:space="preserve"> $B16 * BG$15</f>
        <v>54000000</v>
      </c>
      <c r="BH16" s="83">
        <f t="shared" si="6"/>
        <v>54000000</v>
      </c>
    </row>
    <row r="17" spans="1:61" hidden="1" x14ac:dyDescent="0.2">
      <c r="A17" s="82" t="s">
        <v>804</v>
      </c>
      <c r="B17" s="83">
        <v>45</v>
      </c>
      <c r="C17" s="83">
        <f t="shared" si="3"/>
        <v>0</v>
      </c>
      <c r="D17" s="83">
        <f t="shared" si="3"/>
        <v>0</v>
      </c>
      <c r="E17" s="83">
        <f t="shared" si="3"/>
        <v>0</v>
      </c>
      <c r="F17" s="83">
        <f t="shared" si="3"/>
        <v>0</v>
      </c>
      <c r="G17" s="83">
        <f t="shared" si="3"/>
        <v>0</v>
      </c>
      <c r="H17" s="83">
        <f t="shared" si="3"/>
        <v>0</v>
      </c>
      <c r="I17" s="83">
        <f t="shared" si="3"/>
        <v>0</v>
      </c>
      <c r="J17" s="83">
        <f t="shared" si="3"/>
        <v>0</v>
      </c>
      <c r="K17" s="83">
        <f t="shared" si="3"/>
        <v>0</v>
      </c>
      <c r="L17" s="83">
        <f t="shared" si="3"/>
        <v>0</v>
      </c>
      <c r="M17" s="83">
        <f t="shared" si="3"/>
        <v>40500000</v>
      </c>
      <c r="N17" s="83">
        <f t="shared" si="3"/>
        <v>40500000</v>
      </c>
      <c r="O17" s="83">
        <f xml:space="preserve"> $B17 * O$15</f>
        <v>40500000</v>
      </c>
      <c r="P17" s="83">
        <f t="shared" si="4"/>
        <v>40500000</v>
      </c>
      <c r="Q17" s="83">
        <f t="shared" si="4"/>
        <v>40500000</v>
      </c>
      <c r="R17" s="83">
        <f t="shared" si="4"/>
        <v>40500000</v>
      </c>
      <c r="S17" s="83">
        <f t="shared" si="4"/>
        <v>40500000</v>
      </c>
      <c r="T17" s="83">
        <f t="shared" si="4"/>
        <v>40500000</v>
      </c>
      <c r="U17" s="83">
        <f t="shared" si="4"/>
        <v>40500000</v>
      </c>
      <c r="V17" s="83">
        <f t="shared" si="4"/>
        <v>40500000</v>
      </c>
      <c r="W17" s="83">
        <f t="shared" si="4"/>
        <v>40500000</v>
      </c>
      <c r="X17" s="83">
        <f t="shared" si="4"/>
        <v>40500000</v>
      </c>
      <c r="Y17" s="83">
        <f t="shared" si="4"/>
        <v>40500000</v>
      </c>
      <c r="Z17" s="83">
        <f t="shared" si="4"/>
        <v>40500000</v>
      </c>
      <c r="AA17" s="83">
        <f t="shared" si="4"/>
        <v>40500000</v>
      </c>
      <c r="AB17" s="83">
        <f t="shared" si="4"/>
        <v>40500000</v>
      </c>
      <c r="AC17" s="83">
        <f t="shared" si="4"/>
        <v>40500000</v>
      </c>
      <c r="AD17" s="83">
        <f t="shared" si="4"/>
        <v>40500000</v>
      </c>
      <c r="AE17" s="83">
        <f t="shared" si="4"/>
        <v>40500000</v>
      </c>
      <c r="AF17" s="83">
        <f t="shared" si="4"/>
        <v>40500000</v>
      </c>
      <c r="AG17" s="83">
        <f t="shared" si="4"/>
        <v>40500000</v>
      </c>
      <c r="AH17" s="83">
        <f t="shared" si="4"/>
        <v>40500000</v>
      </c>
      <c r="AI17" s="83">
        <f t="shared" si="4"/>
        <v>40500000</v>
      </c>
      <c r="AJ17" s="83">
        <f t="shared" si="4"/>
        <v>40500000</v>
      </c>
      <c r="AK17" s="83">
        <f t="shared" si="4"/>
        <v>40500000</v>
      </c>
      <c r="AL17" s="83">
        <f t="shared" si="4"/>
        <v>40500000</v>
      </c>
      <c r="AM17" s="83">
        <f t="shared" si="4"/>
        <v>40500000</v>
      </c>
      <c r="AN17" s="83">
        <f t="shared" si="4"/>
        <v>40500000</v>
      </c>
      <c r="AO17" s="83">
        <f t="shared" si="4"/>
        <v>40500000</v>
      </c>
      <c r="AP17" s="83">
        <f t="shared" si="4"/>
        <v>40500000</v>
      </c>
      <c r="AQ17" s="83">
        <f t="shared" si="5"/>
        <v>40500000</v>
      </c>
      <c r="AR17" s="83">
        <f t="shared" si="5"/>
        <v>40500000</v>
      </c>
      <c r="AS17" s="83">
        <f t="shared" si="5"/>
        <v>40500000</v>
      </c>
      <c r="AT17" s="83">
        <f t="shared" si="5"/>
        <v>40500000</v>
      </c>
      <c r="AU17" s="83">
        <f t="shared" si="5"/>
        <v>40500000</v>
      </c>
      <c r="AV17" s="83">
        <f t="shared" si="5"/>
        <v>40500000</v>
      </c>
      <c r="AW17" s="83">
        <f t="shared" si="5"/>
        <v>40500000</v>
      </c>
      <c r="AX17" s="83">
        <f t="shared" si="5"/>
        <v>40500000</v>
      </c>
      <c r="AY17" s="83">
        <f t="shared" si="5"/>
        <v>40500000</v>
      </c>
      <c r="AZ17" s="83">
        <f t="shared" si="5"/>
        <v>40500000</v>
      </c>
      <c r="BA17" s="83">
        <f t="shared" si="5"/>
        <v>40500000</v>
      </c>
      <c r="BB17" s="83">
        <f t="shared" si="6"/>
        <v>40500000</v>
      </c>
      <c r="BC17" s="83">
        <f t="shared" si="6"/>
        <v>40500000</v>
      </c>
      <c r="BD17" s="83">
        <f t="shared" si="6"/>
        <v>40500000</v>
      </c>
      <c r="BE17" s="83">
        <f t="shared" si="6"/>
        <v>40500000</v>
      </c>
      <c r="BF17" s="83">
        <f t="shared" si="6"/>
        <v>40500000</v>
      </c>
      <c r="BG17" s="83">
        <f t="shared" si="6"/>
        <v>40500000</v>
      </c>
      <c r="BH17" s="83">
        <f t="shared" si="6"/>
        <v>40500000</v>
      </c>
    </row>
    <row r="18" spans="1:61" s="104" customFormat="1" x14ac:dyDescent="0.2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</row>
    <row r="19" spans="1:61" x14ac:dyDescent="0.2">
      <c r="A19" s="1" t="s">
        <v>807</v>
      </c>
      <c r="B19" s="31"/>
    </row>
    <row r="20" spans="1:61" x14ac:dyDescent="0.2">
      <c r="A20" t="s">
        <v>619</v>
      </c>
      <c r="B20" s="31"/>
      <c r="C20" s="122">
        <f t="shared" ref="C20:AL20" si="7" xml:space="preserve"> D21</f>
        <v>0</v>
      </c>
      <c r="D20" s="122">
        <f t="shared" si="7"/>
        <v>1</v>
      </c>
      <c r="E20" s="122">
        <f t="shared" si="7"/>
        <v>1</v>
      </c>
      <c r="F20" s="122">
        <f t="shared" si="7"/>
        <v>1</v>
      </c>
      <c r="G20" s="122">
        <f t="shared" si="7"/>
        <v>1</v>
      </c>
      <c r="H20" s="122">
        <f t="shared" si="7"/>
        <v>1</v>
      </c>
      <c r="I20" s="122">
        <f t="shared" si="7"/>
        <v>1</v>
      </c>
      <c r="J20" s="122">
        <f t="shared" si="7"/>
        <v>1</v>
      </c>
      <c r="K20" s="122">
        <f t="shared" si="7"/>
        <v>1</v>
      </c>
      <c r="L20" s="122">
        <f t="shared" si="7"/>
        <v>0</v>
      </c>
      <c r="M20" s="122">
        <f t="shared" si="7"/>
        <v>0</v>
      </c>
      <c r="N20" s="122">
        <f t="shared" si="7"/>
        <v>0</v>
      </c>
      <c r="O20" s="122">
        <f t="shared" si="7"/>
        <v>0</v>
      </c>
      <c r="P20" s="122">
        <f t="shared" si="7"/>
        <v>0</v>
      </c>
      <c r="Q20" s="122">
        <f t="shared" si="7"/>
        <v>0</v>
      </c>
      <c r="R20" s="122">
        <f t="shared" si="7"/>
        <v>0</v>
      </c>
      <c r="S20" s="122">
        <f t="shared" si="7"/>
        <v>0</v>
      </c>
      <c r="T20" s="122">
        <f t="shared" si="7"/>
        <v>0</v>
      </c>
      <c r="U20" s="122">
        <f t="shared" si="7"/>
        <v>0</v>
      </c>
      <c r="V20" s="122">
        <f t="shared" si="7"/>
        <v>0</v>
      </c>
      <c r="W20" s="122">
        <f t="shared" si="7"/>
        <v>0</v>
      </c>
      <c r="X20" s="122">
        <f t="shared" si="7"/>
        <v>0</v>
      </c>
      <c r="Y20" s="122">
        <f t="shared" si="7"/>
        <v>0</v>
      </c>
      <c r="Z20" s="122">
        <f t="shared" si="7"/>
        <v>0</v>
      </c>
      <c r="AA20" s="122">
        <f t="shared" si="7"/>
        <v>0</v>
      </c>
      <c r="AB20" s="122">
        <f t="shared" si="7"/>
        <v>0</v>
      </c>
      <c r="AC20" s="122">
        <f t="shared" si="7"/>
        <v>0</v>
      </c>
      <c r="AD20" s="122">
        <f t="shared" si="7"/>
        <v>0</v>
      </c>
      <c r="AE20" s="122">
        <f t="shared" si="7"/>
        <v>0</v>
      </c>
      <c r="AF20" s="122">
        <f t="shared" si="7"/>
        <v>0</v>
      </c>
      <c r="AG20" s="122">
        <f t="shared" si="7"/>
        <v>0</v>
      </c>
      <c r="AH20" s="122">
        <f t="shared" si="7"/>
        <v>0</v>
      </c>
      <c r="AI20" s="122">
        <f t="shared" si="7"/>
        <v>0</v>
      </c>
      <c r="AJ20" s="122">
        <f t="shared" si="7"/>
        <v>0</v>
      </c>
      <c r="AK20" s="122">
        <f t="shared" si="7"/>
        <v>0</v>
      </c>
      <c r="AL20" s="122">
        <f t="shared" si="7"/>
        <v>0</v>
      </c>
      <c r="AM20" s="122">
        <f t="shared" ref="AM20:BH20" si="8" xml:space="preserve"> BI21</f>
        <v>0</v>
      </c>
      <c r="AN20" s="122">
        <f t="shared" si="8"/>
        <v>0</v>
      </c>
      <c r="AO20" s="122">
        <f t="shared" si="8"/>
        <v>0</v>
      </c>
      <c r="AP20" s="122">
        <f t="shared" si="8"/>
        <v>0</v>
      </c>
      <c r="AQ20" s="122">
        <f t="shared" si="8"/>
        <v>0</v>
      </c>
      <c r="AR20" s="122">
        <f t="shared" si="8"/>
        <v>0</v>
      </c>
      <c r="AS20" s="122">
        <f t="shared" si="8"/>
        <v>0</v>
      </c>
      <c r="AT20" s="122">
        <f t="shared" si="8"/>
        <v>0</v>
      </c>
      <c r="AU20" s="122">
        <f t="shared" si="8"/>
        <v>0</v>
      </c>
      <c r="AV20" s="122">
        <f t="shared" si="8"/>
        <v>0</v>
      </c>
      <c r="AW20" s="122">
        <f t="shared" si="8"/>
        <v>0</v>
      </c>
      <c r="AX20" s="122">
        <f t="shared" si="8"/>
        <v>0</v>
      </c>
      <c r="AY20" s="122">
        <f t="shared" si="8"/>
        <v>0</v>
      </c>
      <c r="AZ20" s="122">
        <f t="shared" si="8"/>
        <v>0</v>
      </c>
      <c r="BA20" s="122">
        <f t="shared" si="8"/>
        <v>0</v>
      </c>
      <c r="BB20" s="122">
        <f t="shared" si="8"/>
        <v>0</v>
      </c>
      <c r="BC20" s="122">
        <f t="shared" si="8"/>
        <v>0</v>
      </c>
      <c r="BD20" s="122">
        <f t="shared" si="8"/>
        <v>0</v>
      </c>
      <c r="BE20" s="122">
        <f t="shared" si="8"/>
        <v>0</v>
      </c>
      <c r="BF20" s="122">
        <f t="shared" si="8"/>
        <v>0</v>
      </c>
      <c r="BG20" s="122">
        <f t="shared" si="8"/>
        <v>0</v>
      </c>
      <c r="BH20" s="122">
        <f t="shared" si="8"/>
        <v>0</v>
      </c>
    </row>
    <row r="21" spans="1:61" x14ac:dyDescent="0.2">
      <c r="A21" t="s">
        <v>620</v>
      </c>
      <c r="B21" s="31"/>
      <c r="C21" s="122">
        <f t="shared" ref="C21:AL21" si="9" xml:space="preserve"> D22-C22</f>
        <v>0</v>
      </c>
      <c r="D21" s="122">
        <f t="shared" si="9"/>
        <v>0</v>
      </c>
      <c r="E21" s="122">
        <f t="shared" si="9"/>
        <v>1</v>
      </c>
      <c r="F21" s="122">
        <f t="shared" si="9"/>
        <v>1</v>
      </c>
      <c r="G21" s="122">
        <f t="shared" si="9"/>
        <v>1</v>
      </c>
      <c r="H21" s="122">
        <f t="shared" si="9"/>
        <v>1</v>
      </c>
      <c r="I21" s="122">
        <f t="shared" si="9"/>
        <v>1</v>
      </c>
      <c r="J21" s="122">
        <f xml:space="preserve"> K22-J22</f>
        <v>1</v>
      </c>
      <c r="K21" s="122">
        <f t="shared" si="9"/>
        <v>1</v>
      </c>
      <c r="L21" s="122">
        <f t="shared" si="9"/>
        <v>1</v>
      </c>
      <c r="M21" s="122">
        <f t="shared" si="9"/>
        <v>0</v>
      </c>
      <c r="N21" s="122">
        <f t="shared" si="9"/>
        <v>0</v>
      </c>
      <c r="O21" s="122">
        <f t="shared" si="9"/>
        <v>0</v>
      </c>
      <c r="P21" s="122">
        <f t="shared" si="9"/>
        <v>0</v>
      </c>
      <c r="Q21" s="122">
        <f t="shared" si="9"/>
        <v>0</v>
      </c>
      <c r="R21" s="122">
        <f t="shared" si="9"/>
        <v>0</v>
      </c>
      <c r="S21" s="122">
        <f t="shared" si="9"/>
        <v>0</v>
      </c>
      <c r="T21" s="122">
        <f t="shared" si="9"/>
        <v>0</v>
      </c>
      <c r="U21" s="122">
        <f t="shared" si="9"/>
        <v>0</v>
      </c>
      <c r="V21" s="122">
        <f t="shared" si="9"/>
        <v>0</v>
      </c>
      <c r="W21" s="122">
        <f t="shared" si="9"/>
        <v>0</v>
      </c>
      <c r="X21" s="122">
        <f t="shared" si="9"/>
        <v>0</v>
      </c>
      <c r="Y21" s="122">
        <f t="shared" si="9"/>
        <v>0</v>
      </c>
      <c r="Z21" s="122">
        <f t="shared" si="9"/>
        <v>0</v>
      </c>
      <c r="AA21" s="122">
        <f t="shared" si="9"/>
        <v>0</v>
      </c>
      <c r="AB21" s="122">
        <f t="shared" si="9"/>
        <v>0</v>
      </c>
      <c r="AC21" s="122">
        <f t="shared" si="9"/>
        <v>0</v>
      </c>
      <c r="AD21" s="122">
        <f t="shared" si="9"/>
        <v>0</v>
      </c>
      <c r="AE21" s="122">
        <f t="shared" si="9"/>
        <v>0</v>
      </c>
      <c r="AF21" s="122">
        <f t="shared" si="9"/>
        <v>0</v>
      </c>
      <c r="AG21" s="122">
        <f t="shared" si="9"/>
        <v>0</v>
      </c>
      <c r="AH21" s="122">
        <f t="shared" si="9"/>
        <v>0</v>
      </c>
      <c r="AI21" s="122">
        <f t="shared" si="9"/>
        <v>0</v>
      </c>
      <c r="AJ21" s="122">
        <f t="shared" si="9"/>
        <v>0</v>
      </c>
      <c r="AK21" s="122">
        <f t="shared" si="9"/>
        <v>0</v>
      </c>
      <c r="AL21" s="122">
        <f t="shared" si="9"/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v>0</v>
      </c>
      <c r="BA21" s="122">
        <v>0</v>
      </c>
      <c r="BB21" s="122">
        <v>0</v>
      </c>
      <c r="BC21" s="122">
        <v>0</v>
      </c>
      <c r="BD21" s="122">
        <v>0</v>
      </c>
      <c r="BE21" s="122">
        <v>0</v>
      </c>
      <c r="BF21" s="122">
        <v>0</v>
      </c>
      <c r="BG21" s="122">
        <v>0</v>
      </c>
      <c r="BH21" s="122">
        <v>0</v>
      </c>
    </row>
    <row r="22" spans="1:61" x14ac:dyDescent="0.2">
      <c r="A22" t="s">
        <v>621</v>
      </c>
      <c r="B22" s="31"/>
      <c r="C22">
        <v>0</v>
      </c>
      <c r="D22">
        <v>0</v>
      </c>
      <c r="E22">
        <v>0</v>
      </c>
      <c r="F22">
        <v>1</v>
      </c>
      <c r="G22">
        <v>2</v>
      </c>
      <c r="H22">
        <v>3</v>
      </c>
      <c r="I22">
        <v>4</v>
      </c>
      <c r="J22">
        <v>5</v>
      </c>
      <c r="K22">
        <v>6</v>
      </c>
      <c r="L22">
        <v>7</v>
      </c>
      <c r="M22">
        <v>8</v>
      </c>
      <c r="N22">
        <v>8</v>
      </c>
      <c r="O22">
        <v>8</v>
      </c>
      <c r="P22">
        <v>8</v>
      </c>
      <c r="Q22">
        <v>8</v>
      </c>
      <c r="R22">
        <v>8</v>
      </c>
      <c r="S22">
        <v>8</v>
      </c>
      <c r="T22">
        <v>8</v>
      </c>
      <c r="U22">
        <v>8</v>
      </c>
      <c r="V22">
        <v>8</v>
      </c>
      <c r="W22">
        <v>8</v>
      </c>
      <c r="X22">
        <v>8</v>
      </c>
      <c r="Y22">
        <v>8</v>
      </c>
      <c r="Z22">
        <v>8</v>
      </c>
      <c r="AA22">
        <v>8</v>
      </c>
      <c r="AB22">
        <v>8</v>
      </c>
      <c r="AC22">
        <v>8</v>
      </c>
      <c r="AD22">
        <v>8</v>
      </c>
      <c r="AE22">
        <v>8</v>
      </c>
      <c r="AF22">
        <v>8</v>
      </c>
      <c r="AG22">
        <v>8</v>
      </c>
      <c r="AH22">
        <v>8</v>
      </c>
      <c r="AI22">
        <v>8</v>
      </c>
      <c r="AJ22">
        <v>8</v>
      </c>
      <c r="AK22">
        <v>8</v>
      </c>
      <c r="AL22">
        <v>8</v>
      </c>
      <c r="AM22">
        <v>8</v>
      </c>
      <c r="AN22">
        <v>8</v>
      </c>
      <c r="AO22">
        <v>8</v>
      </c>
      <c r="AP22">
        <v>8</v>
      </c>
      <c r="AQ22">
        <v>8</v>
      </c>
      <c r="AR22">
        <v>8</v>
      </c>
      <c r="AS22">
        <v>8</v>
      </c>
      <c r="AT22">
        <v>8</v>
      </c>
      <c r="AU22">
        <v>8</v>
      </c>
      <c r="AV22">
        <v>8</v>
      </c>
      <c r="AW22">
        <v>8</v>
      </c>
      <c r="AX22">
        <v>8</v>
      </c>
      <c r="AY22">
        <v>8</v>
      </c>
      <c r="AZ22">
        <v>8</v>
      </c>
      <c r="BA22">
        <v>8</v>
      </c>
      <c r="BB22">
        <v>8</v>
      </c>
      <c r="BC22">
        <v>8</v>
      </c>
      <c r="BD22">
        <v>8</v>
      </c>
      <c r="BE22">
        <v>8</v>
      </c>
      <c r="BF22">
        <v>8</v>
      </c>
      <c r="BG22">
        <v>8</v>
      </c>
      <c r="BH22">
        <v>8</v>
      </c>
    </row>
    <row r="23" spans="1:61" s="82" customFormat="1" hidden="1" x14ac:dyDescent="0.2">
      <c r="A23" s="82" t="s">
        <v>622</v>
      </c>
      <c r="B23" s="156"/>
      <c r="C23" s="83">
        <f>C21*'Levellized Salt Sep Plant'!$C$4</f>
        <v>0</v>
      </c>
      <c r="D23" s="83">
        <f>D21*'Levellized Salt Sep Plant'!$C$4</f>
        <v>0</v>
      </c>
      <c r="E23" s="83">
        <f>E21*'Levellized Salt Sep Plant'!$C$4</f>
        <v>16500000</v>
      </c>
      <c r="F23" s="83">
        <f>F21*'Levellized Salt Sep Plant'!$C$4</f>
        <v>16500000</v>
      </c>
      <c r="G23" s="83">
        <f>G21*'Levellized Salt Sep Plant'!$C$4</f>
        <v>16500000</v>
      </c>
      <c r="H23" s="83">
        <f>H21*'Levellized Salt Sep Plant'!$C$4</f>
        <v>16500000</v>
      </c>
      <c r="I23" s="83">
        <f>I21*'Levellized Salt Sep Plant'!$C$4</f>
        <v>16500000</v>
      </c>
      <c r="J23" s="83">
        <f>J21*'Levellized Salt Sep Plant'!$C$4</f>
        <v>16500000</v>
      </c>
      <c r="K23" s="83">
        <f>K21*'Levellized Salt Sep Plant'!$C$4</f>
        <v>16500000</v>
      </c>
      <c r="L23" s="83">
        <f>L21*'Levellized Salt Sep Plant'!$C$4</f>
        <v>16500000</v>
      </c>
      <c r="M23" s="83">
        <f>M21*'Levellized Salt Sep Plant'!$C$4</f>
        <v>0</v>
      </c>
      <c r="N23" s="83">
        <f>N21*'Levellized Salt Sep Plant'!$C$4</f>
        <v>0</v>
      </c>
      <c r="O23" s="83">
        <f>O21*'Levellized Salt Sep Plant'!$C$4</f>
        <v>0</v>
      </c>
      <c r="P23" s="83">
        <f>P21*'Levellized Salt Sep Plant'!$C$4</f>
        <v>0</v>
      </c>
      <c r="Q23" s="83">
        <f>Q21*'Levellized Salt Sep Plant'!$C$4</f>
        <v>0</v>
      </c>
      <c r="R23" s="83">
        <f>R21*'Levellized Salt Sep Plant'!$C$4</f>
        <v>0</v>
      </c>
      <c r="S23" s="83">
        <f>S21*'Levellized Salt Sep Plant'!$C$4</f>
        <v>0</v>
      </c>
      <c r="T23" s="83">
        <f>T21*'Levellized Salt Sep Plant'!$C$4</f>
        <v>0</v>
      </c>
      <c r="U23" s="83">
        <f>U21*'Levellized Salt Sep Plant'!$C$4</f>
        <v>0</v>
      </c>
      <c r="V23" s="83">
        <f>V21*'Levellized Salt Sep Plant'!$C$4</f>
        <v>0</v>
      </c>
      <c r="W23" s="83">
        <f>W21*'Levellized Salt Sep Plant'!$C$4</f>
        <v>0</v>
      </c>
      <c r="X23" s="83">
        <f>X21*'Levellized Salt Sep Plant'!$C$4</f>
        <v>0</v>
      </c>
      <c r="Y23" s="83">
        <f>Y21*'Levellized Salt Sep Plant'!$C$4</f>
        <v>0</v>
      </c>
      <c r="Z23" s="83">
        <f>Z21*'Levellized Salt Sep Plant'!$C$4</f>
        <v>0</v>
      </c>
      <c r="AA23" s="83">
        <f>AA21*'Levellized Salt Sep Plant'!$C$4</f>
        <v>0</v>
      </c>
      <c r="AB23" s="83">
        <f>AB21*'Levellized Salt Sep Plant'!$C$4</f>
        <v>0</v>
      </c>
      <c r="AC23" s="83">
        <f>AC21*'Levellized Salt Sep Plant'!$C$4</f>
        <v>0</v>
      </c>
      <c r="AD23" s="83">
        <f>AD21*'Levellized Salt Sep Plant'!$C$4</f>
        <v>0</v>
      </c>
      <c r="AE23" s="83">
        <f>AE21*'Levellized Salt Sep Plant'!$C$4</f>
        <v>0</v>
      </c>
      <c r="AF23" s="83">
        <f>AF21*'Levellized Salt Sep Plant'!$C$4</f>
        <v>0</v>
      </c>
      <c r="AG23" s="83">
        <f>AG21*'Levellized Salt Sep Plant'!$C$4</f>
        <v>0</v>
      </c>
      <c r="AH23" s="83">
        <f>AH21*'Levellized Salt Sep Plant'!$C$4</f>
        <v>0</v>
      </c>
      <c r="AI23" s="83">
        <f>AI21*'Levellized Salt Sep Plant'!$C$4</f>
        <v>0</v>
      </c>
      <c r="AJ23" s="83">
        <f>AJ21*'Levellized Salt Sep Plant'!$C$4</f>
        <v>0</v>
      </c>
      <c r="AK23" s="83">
        <f>AK21*'Levellized Salt Sep Plant'!$C$4</f>
        <v>0</v>
      </c>
      <c r="AL23" s="83">
        <f>AL21*'Levellized Salt Sep Plant'!$C$4</f>
        <v>0</v>
      </c>
      <c r="AM23" s="83">
        <f>AM21*'Levellized Salt Sep Plant'!$C$4</f>
        <v>0</v>
      </c>
      <c r="AN23" s="83">
        <f>AN21*'Levellized Salt Sep Plant'!$C$4</f>
        <v>0</v>
      </c>
      <c r="AO23" s="83">
        <f>AO21*'Levellized Salt Sep Plant'!$C$4</f>
        <v>0</v>
      </c>
      <c r="AP23" s="83">
        <f>AP21*'Levellized Salt Sep Plant'!$C$4</f>
        <v>0</v>
      </c>
      <c r="AQ23" s="83">
        <f>AQ21*'Levellized Salt Sep Plant'!$C$4</f>
        <v>0</v>
      </c>
      <c r="AR23" s="83">
        <f>AR21*'Levellized Salt Sep Plant'!$C$4</f>
        <v>0</v>
      </c>
      <c r="AS23" s="83">
        <f>AS21*'Levellized Salt Sep Plant'!$C$4</f>
        <v>0</v>
      </c>
      <c r="AT23" s="83">
        <f>AT21*'Levellized Salt Sep Plant'!$C$4</f>
        <v>0</v>
      </c>
      <c r="AU23" s="83">
        <f>AU21*'Levellized Salt Sep Plant'!$C$4</f>
        <v>0</v>
      </c>
      <c r="AV23" s="83">
        <f>AV21*'Levellized Salt Sep Plant'!$C$4</f>
        <v>0</v>
      </c>
      <c r="AW23" s="83">
        <f>AW21*'Levellized Salt Sep Plant'!$C$4</f>
        <v>0</v>
      </c>
      <c r="AX23" s="83">
        <f>AX21*'Levellized Salt Sep Plant'!$C$4</f>
        <v>0</v>
      </c>
      <c r="AY23" s="83">
        <f>AY21*'Levellized Salt Sep Plant'!$C$4</f>
        <v>0</v>
      </c>
      <c r="AZ23" s="83">
        <f>AZ21*'Levellized Salt Sep Plant'!$C$4</f>
        <v>0</v>
      </c>
      <c r="BA23" s="83">
        <f>BA21*'Levellized Salt Sep Plant'!$C$4</f>
        <v>0</v>
      </c>
      <c r="BB23" s="83">
        <f>BB21*'Levellized Salt Sep Plant'!$C$4</f>
        <v>0</v>
      </c>
      <c r="BC23" s="83">
        <f>BC21*'Levellized Salt Sep Plant'!$C$4</f>
        <v>0</v>
      </c>
      <c r="BD23" s="83">
        <f>BD21*'Levellized Salt Sep Plant'!$C$4</f>
        <v>0</v>
      </c>
      <c r="BE23" s="83">
        <f>BE21*'Levellized Salt Sep Plant'!$C$4</f>
        <v>0</v>
      </c>
      <c r="BF23" s="83">
        <f>BF21*'Levellized Salt Sep Plant'!$C$4</f>
        <v>0</v>
      </c>
      <c r="BG23" s="83">
        <f>BG21*'Levellized Salt Sep Plant'!$C$4</f>
        <v>0</v>
      </c>
      <c r="BH23" s="83">
        <f>BH21*'Levellized Salt Sep Plant'!$C$4</f>
        <v>0</v>
      </c>
      <c r="BI23" s="83"/>
    </row>
    <row r="24" spans="1:61" s="82" customFormat="1" hidden="1" x14ac:dyDescent="0.2">
      <c r="A24" s="82" t="s">
        <v>623</v>
      </c>
      <c r="B24" s="156"/>
      <c r="C24" s="83">
        <f>C22*'Levellized Salt Sep Plant'!$C$25</f>
        <v>0</v>
      </c>
      <c r="D24" s="83">
        <f>D22*'Levellized Salt Sep Plant'!$C$25</f>
        <v>0</v>
      </c>
      <c r="E24" s="83">
        <f>E22*'Levellized Salt Sep Plant'!$C$25</f>
        <v>0</v>
      </c>
      <c r="F24" s="83">
        <f>F22*'Levellized Salt Sep Plant'!$C$25</f>
        <v>1894484.9344000001</v>
      </c>
      <c r="G24" s="83">
        <f>G22*'Levellized Salt Sep Plant'!$C$25</f>
        <v>3788969.8688000003</v>
      </c>
      <c r="H24" s="83">
        <f>H22*'Levellized Salt Sep Plant'!$C$25</f>
        <v>5683454.8032000009</v>
      </c>
      <c r="I24" s="83">
        <f>I22*'Levellized Salt Sep Plant'!$C$25</f>
        <v>7577939.7376000006</v>
      </c>
      <c r="J24" s="83">
        <f>J22*'Levellized Salt Sep Plant'!$C$25</f>
        <v>9472424.6720000003</v>
      </c>
      <c r="K24" s="83">
        <f>K22*'Levellized Salt Sep Plant'!$C$25</f>
        <v>11366909.606400002</v>
      </c>
      <c r="L24" s="83">
        <f>L22*'Levellized Salt Sep Plant'!$C$25</f>
        <v>13261394.540800001</v>
      </c>
      <c r="M24" s="83">
        <f>M22*'Levellized Salt Sep Plant'!$C$25</f>
        <v>15155879.475200001</v>
      </c>
      <c r="N24" s="83">
        <f>N22*'Levellized Salt Sep Plant'!$C$25</f>
        <v>15155879.475200001</v>
      </c>
      <c r="O24" s="83">
        <f>O22*'Levellized Salt Sep Plant'!$C$25</f>
        <v>15155879.475200001</v>
      </c>
      <c r="P24" s="83">
        <f>P22*'Levellized Salt Sep Plant'!$C$25</f>
        <v>15155879.475200001</v>
      </c>
      <c r="Q24" s="83">
        <f>Q22*'Levellized Salt Sep Plant'!$C$25</f>
        <v>15155879.475200001</v>
      </c>
      <c r="R24" s="83">
        <f>R22*'Levellized Salt Sep Plant'!$C$25</f>
        <v>15155879.475200001</v>
      </c>
      <c r="S24" s="83">
        <f>S22*'Levellized Salt Sep Plant'!$C$25</f>
        <v>15155879.475200001</v>
      </c>
      <c r="T24" s="83">
        <f>T22*'Levellized Salt Sep Plant'!$C$25</f>
        <v>15155879.475200001</v>
      </c>
      <c r="U24" s="83">
        <f>U22*'Levellized Salt Sep Plant'!$C$25</f>
        <v>15155879.475200001</v>
      </c>
      <c r="V24" s="83">
        <f>V22*'Levellized Salt Sep Plant'!$C$25</f>
        <v>15155879.475200001</v>
      </c>
      <c r="W24" s="83">
        <f>W22*'Levellized Salt Sep Plant'!$C$25</f>
        <v>15155879.475200001</v>
      </c>
      <c r="X24" s="83">
        <f>X22*'Levellized Salt Sep Plant'!$C$25</f>
        <v>15155879.475200001</v>
      </c>
      <c r="Y24" s="83">
        <f>Y22*'Levellized Salt Sep Plant'!$C$25</f>
        <v>15155879.475200001</v>
      </c>
      <c r="Z24" s="83">
        <f>Z22*'Levellized Salt Sep Plant'!$C$25</f>
        <v>15155879.475200001</v>
      </c>
      <c r="AA24" s="83">
        <f>AA22*'Levellized Salt Sep Plant'!$C$25</f>
        <v>15155879.475200001</v>
      </c>
      <c r="AB24" s="83">
        <f>AB22*'Levellized Salt Sep Plant'!$C$25</f>
        <v>15155879.475200001</v>
      </c>
      <c r="AC24" s="83">
        <f>AC22*'Levellized Salt Sep Plant'!$C$25</f>
        <v>15155879.475200001</v>
      </c>
      <c r="AD24" s="83">
        <f>AD22*'Levellized Salt Sep Plant'!$C$25</f>
        <v>15155879.475200001</v>
      </c>
      <c r="AE24" s="83">
        <f>AE22*'Levellized Salt Sep Plant'!$C$25</f>
        <v>15155879.475200001</v>
      </c>
      <c r="AF24" s="83">
        <f>AF22*'Levellized Salt Sep Plant'!$C$25</f>
        <v>15155879.475200001</v>
      </c>
      <c r="AG24" s="83">
        <f>AG22*'Levellized Salt Sep Plant'!$C$25</f>
        <v>15155879.475200001</v>
      </c>
      <c r="AH24" s="83">
        <f>AH22*'Levellized Salt Sep Plant'!$C$25</f>
        <v>15155879.475200001</v>
      </c>
      <c r="AI24" s="83">
        <f>AI22*'Levellized Salt Sep Plant'!$C$25</f>
        <v>15155879.475200001</v>
      </c>
      <c r="AJ24" s="83">
        <f>AJ22*'Levellized Salt Sep Plant'!$C$25</f>
        <v>15155879.475200001</v>
      </c>
      <c r="AK24" s="83">
        <f>AK22*'Levellized Salt Sep Plant'!$C$25</f>
        <v>15155879.475200001</v>
      </c>
      <c r="AL24" s="83">
        <f>AL22*'Levellized Salt Sep Plant'!$C$25</f>
        <v>15155879.475200001</v>
      </c>
      <c r="AM24" s="83">
        <f>AM22*'Levellized Salt Sep Plant'!$C$25</f>
        <v>15155879.475200001</v>
      </c>
      <c r="AN24" s="83">
        <f>AN22*'Levellized Salt Sep Plant'!$C$25</f>
        <v>15155879.475200001</v>
      </c>
      <c r="AO24" s="83">
        <f>AO22*'Levellized Salt Sep Plant'!$C$25</f>
        <v>15155879.475200001</v>
      </c>
      <c r="AP24" s="83">
        <f>AP22*'Levellized Salt Sep Plant'!$C$25</f>
        <v>15155879.475200001</v>
      </c>
      <c r="AQ24" s="83">
        <f>AQ22*'Levellized Salt Sep Plant'!$C$25</f>
        <v>15155879.475200001</v>
      </c>
      <c r="AR24" s="83">
        <f>AR22*'Levellized Salt Sep Plant'!$C$25</f>
        <v>15155879.475200001</v>
      </c>
      <c r="AS24" s="83">
        <f>AS22*'Levellized Salt Sep Plant'!$C$25</f>
        <v>15155879.475200001</v>
      </c>
      <c r="AT24" s="83">
        <f>AT22*'Levellized Salt Sep Plant'!$C$25</f>
        <v>15155879.475200001</v>
      </c>
      <c r="AU24" s="83">
        <f>AU22*'Levellized Salt Sep Plant'!$C$25</f>
        <v>15155879.475200001</v>
      </c>
      <c r="AV24" s="83">
        <f>AV22*'Levellized Salt Sep Plant'!$C$25</f>
        <v>15155879.475200001</v>
      </c>
      <c r="AW24" s="83">
        <f>AW22*'Levellized Salt Sep Plant'!$C$25</f>
        <v>15155879.475200001</v>
      </c>
      <c r="AX24" s="83">
        <f>AX22*'Levellized Salt Sep Plant'!$C$25</f>
        <v>15155879.475200001</v>
      </c>
      <c r="AY24" s="83">
        <f>AY22*'Levellized Salt Sep Plant'!$C$25</f>
        <v>15155879.475200001</v>
      </c>
      <c r="AZ24" s="83">
        <f>AZ22*'Levellized Salt Sep Plant'!$C$25</f>
        <v>15155879.475200001</v>
      </c>
      <c r="BA24" s="83">
        <f>BA22*'Levellized Salt Sep Plant'!$C$25</f>
        <v>15155879.475200001</v>
      </c>
      <c r="BB24" s="83">
        <f>BB22*'Levellized Salt Sep Plant'!$C$25</f>
        <v>15155879.475200001</v>
      </c>
      <c r="BC24" s="83">
        <f>BC22*'Levellized Salt Sep Plant'!$C$25</f>
        <v>15155879.475200001</v>
      </c>
      <c r="BD24" s="83">
        <f>BD22*'Levellized Salt Sep Plant'!$C$25</f>
        <v>15155879.475200001</v>
      </c>
      <c r="BE24" s="83">
        <f>BE22*'Levellized Salt Sep Plant'!$C$25</f>
        <v>15155879.475200001</v>
      </c>
      <c r="BF24" s="83">
        <f>BF22*'Levellized Salt Sep Plant'!$C$25</f>
        <v>15155879.475200001</v>
      </c>
      <c r="BG24" s="83">
        <f>BG22*'Levellized Salt Sep Plant'!$C$25</f>
        <v>15155879.475200001</v>
      </c>
      <c r="BH24" s="83">
        <f>BH22*'Levellized Salt Sep Plant'!$C$25</f>
        <v>15155879.475200001</v>
      </c>
      <c r="BI24" s="83"/>
    </row>
    <row r="25" spans="1:61" s="82" customFormat="1" hidden="1" x14ac:dyDescent="0.2">
      <c r="A25" s="82" t="s">
        <v>730</v>
      </c>
      <c r="B25" s="156"/>
      <c r="C25" s="83">
        <f>C22*'Levellized Salt Sep Plant'!$C$30</f>
        <v>0</v>
      </c>
      <c r="D25" s="83">
        <f>D22*'Levellized Salt Sep Plant'!$C$30</f>
        <v>0</v>
      </c>
      <c r="E25" s="83">
        <f>E22*'Levellized Salt Sep Plant'!$C$30</f>
        <v>0</v>
      </c>
      <c r="F25" s="83">
        <f>F22*'Levellized Salt Sep Plant'!$C$30</f>
        <v>778107</v>
      </c>
      <c r="G25" s="83">
        <f>G22*'Levellized Salt Sep Plant'!$C$30</f>
        <v>1556214</v>
      </c>
      <c r="H25" s="83">
        <f>H22*'Levellized Salt Sep Plant'!$C$30</f>
        <v>2334321</v>
      </c>
      <c r="I25" s="83">
        <f>I22*'Levellized Salt Sep Plant'!$C$30</f>
        <v>3112428</v>
      </c>
      <c r="J25" s="83">
        <f>J22*'Levellized Salt Sep Plant'!$C$30</f>
        <v>3890535</v>
      </c>
      <c r="K25" s="83">
        <f>K22*'Levellized Salt Sep Plant'!$C$30</f>
        <v>4668642</v>
      </c>
      <c r="L25" s="83">
        <f>L22*'Levellized Salt Sep Plant'!$C$30</f>
        <v>5446749</v>
      </c>
      <c r="M25" s="83">
        <f>M22*'Levellized Salt Sep Plant'!$C$30</f>
        <v>6224856</v>
      </c>
      <c r="N25" s="83">
        <f>N22*'Levellized Salt Sep Plant'!$C$30</f>
        <v>6224856</v>
      </c>
      <c r="O25" s="83">
        <f>O22*'Levellized Salt Sep Plant'!$C$30</f>
        <v>6224856</v>
      </c>
      <c r="P25" s="83">
        <f>P22*'Levellized Salt Sep Plant'!$C$30</f>
        <v>6224856</v>
      </c>
      <c r="Q25" s="83">
        <f>Q22*'Levellized Salt Sep Plant'!$C$30</f>
        <v>6224856</v>
      </c>
      <c r="R25" s="83">
        <f>R22*'Levellized Salt Sep Plant'!$C$30</f>
        <v>6224856</v>
      </c>
      <c r="S25" s="83">
        <f>S22*'Levellized Salt Sep Plant'!$C$30</f>
        <v>6224856</v>
      </c>
      <c r="T25" s="83">
        <f>T22*'Levellized Salt Sep Plant'!$C$30</f>
        <v>6224856</v>
      </c>
      <c r="U25" s="83">
        <f>U22*'Levellized Salt Sep Plant'!$C$30</f>
        <v>6224856</v>
      </c>
      <c r="V25" s="83">
        <f>V22*'Levellized Salt Sep Plant'!$C$30</f>
        <v>6224856</v>
      </c>
      <c r="W25" s="83">
        <f>W22*'Levellized Salt Sep Plant'!$C$30</f>
        <v>6224856</v>
      </c>
      <c r="X25" s="83">
        <f>X22*'Levellized Salt Sep Plant'!$C$30</f>
        <v>6224856</v>
      </c>
      <c r="Y25" s="83">
        <f>Y22*'Levellized Salt Sep Plant'!$C$30</f>
        <v>6224856</v>
      </c>
      <c r="Z25" s="83">
        <f>Z22*'Levellized Salt Sep Plant'!$C$30</f>
        <v>6224856</v>
      </c>
      <c r="AA25" s="83">
        <f>AA22*'Levellized Salt Sep Plant'!$C$30</f>
        <v>6224856</v>
      </c>
      <c r="AB25" s="83">
        <f>AB22*'Levellized Salt Sep Plant'!$C$30</f>
        <v>6224856</v>
      </c>
      <c r="AC25" s="83">
        <f>AC22*'Levellized Salt Sep Plant'!$C$30</f>
        <v>6224856</v>
      </c>
      <c r="AD25" s="83">
        <f>AD22*'Levellized Salt Sep Plant'!$C$30</f>
        <v>6224856</v>
      </c>
      <c r="AE25" s="83">
        <f>AE22*'Levellized Salt Sep Plant'!$C$30</f>
        <v>6224856</v>
      </c>
      <c r="AF25" s="83">
        <f>AF22*'Levellized Salt Sep Plant'!$C$30</f>
        <v>6224856</v>
      </c>
      <c r="AG25" s="83">
        <f>AG22*'Levellized Salt Sep Plant'!$C$30</f>
        <v>6224856</v>
      </c>
      <c r="AH25" s="83">
        <f>AH22*'Levellized Salt Sep Plant'!$C$30</f>
        <v>6224856</v>
      </c>
      <c r="AI25" s="83">
        <f>AI22*'Levellized Salt Sep Plant'!$C$30</f>
        <v>6224856</v>
      </c>
      <c r="AJ25" s="83">
        <f>AJ22*'Levellized Salt Sep Plant'!$C$30</f>
        <v>6224856</v>
      </c>
      <c r="AK25" s="83">
        <f>AK22*'Levellized Salt Sep Plant'!$C$30</f>
        <v>6224856</v>
      </c>
      <c r="AL25" s="83">
        <f>AL22*'Levellized Salt Sep Plant'!$C$30</f>
        <v>6224856</v>
      </c>
      <c r="AM25" s="83">
        <f>AM22*'Levellized Salt Sep Plant'!$C$30</f>
        <v>6224856</v>
      </c>
      <c r="AN25" s="83">
        <f>AN22*'Levellized Salt Sep Plant'!$C$30</f>
        <v>6224856</v>
      </c>
      <c r="AO25" s="83">
        <f>AO22*'Levellized Salt Sep Plant'!$C$30</f>
        <v>6224856</v>
      </c>
      <c r="AP25" s="83">
        <f>AP22*'Levellized Salt Sep Plant'!$C$30</f>
        <v>6224856</v>
      </c>
      <c r="AQ25" s="83">
        <f>AQ22*'Levellized Salt Sep Plant'!$C$30</f>
        <v>6224856</v>
      </c>
      <c r="AR25" s="83">
        <f>AR22*'Levellized Salt Sep Plant'!$C$30</f>
        <v>6224856</v>
      </c>
      <c r="AS25" s="83">
        <f>AS22*'Levellized Salt Sep Plant'!$C$30</f>
        <v>6224856</v>
      </c>
      <c r="AT25" s="83">
        <f>AT22*'Levellized Salt Sep Plant'!$C$30</f>
        <v>6224856</v>
      </c>
      <c r="AU25" s="83">
        <f>AU22*'Levellized Salt Sep Plant'!$C$30</f>
        <v>6224856</v>
      </c>
      <c r="AV25" s="83">
        <f>AV22*'Levellized Salt Sep Plant'!$C$30</f>
        <v>6224856</v>
      </c>
      <c r="AW25" s="83">
        <f>AW22*'Levellized Salt Sep Plant'!$C$30</f>
        <v>6224856</v>
      </c>
      <c r="AX25" s="83">
        <f>AX22*'Levellized Salt Sep Plant'!$C$30</f>
        <v>6224856</v>
      </c>
      <c r="AY25" s="83">
        <f>AY22*'Levellized Salt Sep Plant'!$C$30</f>
        <v>6224856</v>
      </c>
      <c r="AZ25" s="83">
        <f>AZ22*'Levellized Salt Sep Plant'!$C$30</f>
        <v>6224856</v>
      </c>
      <c r="BA25" s="83">
        <f>BA22*'Levellized Salt Sep Plant'!$C$30</f>
        <v>6224856</v>
      </c>
      <c r="BB25" s="83">
        <f>BB22*'Levellized Salt Sep Plant'!$C$30</f>
        <v>6224856</v>
      </c>
      <c r="BC25" s="83">
        <f>BC22*'Levellized Salt Sep Plant'!$C$30</f>
        <v>6224856</v>
      </c>
      <c r="BD25" s="83">
        <f>BD22*'Levellized Salt Sep Plant'!$C$30</f>
        <v>6224856</v>
      </c>
      <c r="BE25" s="83">
        <f>BE22*'Levellized Salt Sep Plant'!$C$30</f>
        <v>6224856</v>
      </c>
      <c r="BF25" s="83">
        <f>BF22*'Levellized Salt Sep Plant'!$C$30</f>
        <v>6224856</v>
      </c>
      <c r="BG25" s="83">
        <f>BG22*'Levellized Salt Sep Plant'!$C$30</f>
        <v>6224856</v>
      </c>
      <c r="BH25" s="83">
        <f>BH22*'Levellized Salt Sep Plant'!$C$30</f>
        <v>6224856</v>
      </c>
      <c r="BI25" s="83"/>
    </row>
    <row r="26" spans="1:61" x14ac:dyDescent="0.2">
      <c r="B26" s="3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x14ac:dyDescent="0.2">
      <c r="A27" t="s">
        <v>8</v>
      </c>
      <c r="B27" s="31"/>
      <c r="C27" s="107">
        <f xml:space="preserve"> IF(C28 &gt; 0, C38/(C38+C28), 0)</f>
        <v>0</v>
      </c>
      <c r="D27" s="107">
        <f t="shared" ref="D27:BH27" si="10" xml:space="preserve"> IF(D28 &gt; 0, D38/(D38+D28), 0)</f>
        <v>0</v>
      </c>
      <c r="E27" s="107">
        <f t="shared" si="10"/>
        <v>0</v>
      </c>
      <c r="F27" s="107">
        <f t="shared" si="10"/>
        <v>0.68068372096365526</v>
      </c>
      <c r="G27" s="107">
        <f t="shared" si="10"/>
        <v>0.68068372096365526</v>
      </c>
      <c r="H27" s="107">
        <f t="shared" si="10"/>
        <v>0.68068372096365515</v>
      </c>
      <c r="I27" s="107">
        <f t="shared" si="10"/>
        <v>0.68068372096365526</v>
      </c>
      <c r="J27" s="107">
        <f t="shared" si="10"/>
        <v>0.68068372096365515</v>
      </c>
      <c r="K27" s="107">
        <f t="shared" si="10"/>
        <v>0.68068372096365515</v>
      </c>
      <c r="L27" s="107">
        <f t="shared" si="10"/>
        <v>0.68068372096365526</v>
      </c>
      <c r="M27" s="107">
        <f t="shared" si="10"/>
        <v>0.68068372096365526</v>
      </c>
      <c r="N27" s="107">
        <f t="shared" si="10"/>
        <v>0.68068372096365526</v>
      </c>
      <c r="O27" s="107">
        <f t="shared" si="10"/>
        <v>0.68068372096365526</v>
      </c>
      <c r="P27" s="107">
        <f t="shared" si="10"/>
        <v>0.68068372096365526</v>
      </c>
      <c r="Q27" s="107">
        <f t="shared" si="10"/>
        <v>0.68068372096365526</v>
      </c>
      <c r="R27" s="107">
        <f t="shared" si="10"/>
        <v>0.68068372096365526</v>
      </c>
      <c r="S27" s="107">
        <f t="shared" si="10"/>
        <v>0.68068372096365526</v>
      </c>
      <c r="T27" s="107">
        <f t="shared" si="10"/>
        <v>0.68068372096365526</v>
      </c>
      <c r="U27" s="107">
        <f t="shared" si="10"/>
        <v>0.68068372096365526</v>
      </c>
      <c r="V27" s="107">
        <f t="shared" si="10"/>
        <v>0.68068372096365526</v>
      </c>
      <c r="W27" s="107">
        <f t="shared" si="10"/>
        <v>0.68068372096365526</v>
      </c>
      <c r="X27" s="107">
        <f t="shared" si="10"/>
        <v>0.68068372096365526</v>
      </c>
      <c r="Y27" s="107">
        <f t="shared" si="10"/>
        <v>0.68068372096365526</v>
      </c>
      <c r="Z27" s="107">
        <f t="shared" si="10"/>
        <v>0.68068372096365526</v>
      </c>
      <c r="AA27" s="107">
        <f t="shared" si="10"/>
        <v>0.68068372096365526</v>
      </c>
      <c r="AB27" s="107">
        <f t="shared" si="10"/>
        <v>0.68068372096365526</v>
      </c>
      <c r="AC27" s="107">
        <f t="shared" si="10"/>
        <v>0.68068372096365526</v>
      </c>
      <c r="AD27" s="107">
        <f t="shared" si="10"/>
        <v>0.68068372096365526</v>
      </c>
      <c r="AE27" s="107">
        <f t="shared" si="10"/>
        <v>0.68068372096365526</v>
      </c>
      <c r="AF27" s="107">
        <f t="shared" si="10"/>
        <v>0.68068372096365526</v>
      </c>
      <c r="AG27" s="107">
        <f t="shared" si="10"/>
        <v>0.68068372096365526</v>
      </c>
      <c r="AH27" s="107">
        <f t="shared" si="10"/>
        <v>0.68068372096365526</v>
      </c>
      <c r="AI27" s="107">
        <f t="shared" si="10"/>
        <v>0.68068372096365526</v>
      </c>
      <c r="AJ27" s="107">
        <f t="shared" si="10"/>
        <v>0.68068372096365526</v>
      </c>
      <c r="AK27" s="107">
        <f t="shared" si="10"/>
        <v>0.68068372096365526</v>
      </c>
      <c r="AL27" s="107">
        <f t="shared" si="10"/>
        <v>0.68068372096365526</v>
      </c>
      <c r="AM27" s="107">
        <f t="shared" si="10"/>
        <v>0.68068372096365526</v>
      </c>
      <c r="AN27" s="107">
        <f t="shared" si="10"/>
        <v>0.68068372096365526</v>
      </c>
      <c r="AO27" s="107">
        <f t="shared" si="10"/>
        <v>0.68068372096365526</v>
      </c>
      <c r="AP27" s="107">
        <f t="shared" si="10"/>
        <v>0.68068372096365526</v>
      </c>
      <c r="AQ27" s="107">
        <f t="shared" si="10"/>
        <v>0.68068372096365526</v>
      </c>
      <c r="AR27" s="107">
        <f t="shared" si="10"/>
        <v>0.68068372096365526</v>
      </c>
      <c r="AS27" s="107">
        <f t="shared" si="10"/>
        <v>0.68068372096365526</v>
      </c>
      <c r="AT27" s="107">
        <f t="shared" si="10"/>
        <v>0.68068372096365526</v>
      </c>
      <c r="AU27" s="107">
        <f t="shared" si="10"/>
        <v>0.68068372096365526</v>
      </c>
      <c r="AV27" s="107">
        <f t="shared" si="10"/>
        <v>0.68068372096365526</v>
      </c>
      <c r="AW27" s="107">
        <f t="shared" si="10"/>
        <v>0.68068372096365526</v>
      </c>
      <c r="AX27" s="107">
        <f t="shared" si="10"/>
        <v>0.68068372096365526</v>
      </c>
      <c r="AY27" s="107">
        <f t="shared" si="10"/>
        <v>0.68068372096365526</v>
      </c>
      <c r="AZ27" s="107">
        <f t="shared" si="10"/>
        <v>0.68068372096365526</v>
      </c>
      <c r="BA27" s="107">
        <f t="shared" si="10"/>
        <v>0.68068372096365526</v>
      </c>
      <c r="BB27" s="107">
        <f t="shared" si="10"/>
        <v>0.68068372096365526</v>
      </c>
      <c r="BC27" s="107">
        <f t="shared" si="10"/>
        <v>0.68068372096365526</v>
      </c>
      <c r="BD27" s="107">
        <f t="shared" si="10"/>
        <v>0.68068372096365526</v>
      </c>
      <c r="BE27" s="107">
        <f t="shared" si="10"/>
        <v>0.68068372096365526</v>
      </c>
      <c r="BF27" s="107">
        <f t="shared" si="10"/>
        <v>0.68068372096365526</v>
      </c>
      <c r="BG27" s="107">
        <f t="shared" si="10"/>
        <v>0.68068372096365526</v>
      </c>
      <c r="BH27" s="107">
        <f t="shared" si="10"/>
        <v>0.68068372096365526</v>
      </c>
      <c r="BI27" s="107"/>
    </row>
    <row r="28" spans="1:61" x14ac:dyDescent="0.2">
      <c r="A28" t="s">
        <v>9</v>
      </c>
      <c r="B28" s="31"/>
      <c r="C28" s="5">
        <f>IF((C22*'Levellized Salt Sep Plant'!$C$39-C38)&gt;0,(C22*'Levellized Salt Sep Plant'!$C$39-C38),0)</f>
        <v>0</v>
      </c>
      <c r="D28" s="5">
        <f>IF((D22*'Levellized Salt Sep Plant'!$C$39-D38)&gt;0,(D22*'Levellized Salt Sep Plant'!$C$39-D38),0)</f>
        <v>0</v>
      </c>
      <c r="E28" s="5">
        <f>IF((E22*'Levellized Salt Sep Plant'!$C$39-E38)&gt;0,(E22*'Levellized Salt Sep Plant'!$C$39-E38),0)</f>
        <v>0</v>
      </c>
      <c r="F28" s="5">
        <f>IF((F22*'Levellized Salt Sep Plant'!$C$39-F38)&gt;0,(F22*'Levellized Salt Sep Plant'!$C$39-F38),0)</f>
        <v>40666.067200454083</v>
      </c>
      <c r="G28" s="5">
        <f>IF((G22*'Levellized Salt Sep Plant'!$C$39-G38)&gt;0,(G22*'Levellized Salt Sep Plant'!$C$39-G38),0)</f>
        <v>81332.134400908166</v>
      </c>
      <c r="H28" s="5">
        <f>IF((H22*'Levellized Salt Sep Plant'!$C$39-H38)&gt;0,(H22*'Levellized Salt Sep Plant'!$C$39-H38),0)</f>
        <v>121998.20160136226</v>
      </c>
      <c r="I28" s="5">
        <f>IF((I22*'Levellized Salt Sep Plant'!$C$39-I38)&gt;0,(I22*'Levellized Salt Sep Plant'!$C$39-I38),0)</f>
        <v>162664.26880181633</v>
      </c>
      <c r="J28" s="5">
        <f>IF((J22*'Levellized Salt Sep Plant'!$C$39-J38)&gt;0,(J22*'Levellized Salt Sep Plant'!$C$39-J38),0)</f>
        <v>203330.33600227046</v>
      </c>
      <c r="K28" s="5">
        <f>IF((K22*'Levellized Salt Sep Plant'!$C$39-K38)&gt;0,(K22*'Levellized Salt Sep Plant'!$C$39-K38),0)</f>
        <v>243996.40320272453</v>
      </c>
      <c r="L28" s="5">
        <f>IF((L22*'Levellized Salt Sep Plant'!$C$39-L38)&gt;0,(L22*'Levellized Salt Sep Plant'!$C$39-L38),0)</f>
        <v>284662.4704031786</v>
      </c>
      <c r="M28" s="5">
        <f>IF((M22*'Levellized Salt Sep Plant'!$C$39-M38)&gt;0,(M22*'Levellized Salt Sep Plant'!$C$39-M38),0)</f>
        <v>325328.53760363266</v>
      </c>
      <c r="N28" s="5">
        <f>IF((N22*'Levellized Salt Sep Plant'!$C$39-N38)&gt;0,(N22*'Levellized Salt Sep Plant'!$C$39-N38),0)</f>
        <v>325328.53760363266</v>
      </c>
      <c r="O28" s="5">
        <f>IF((O22*'Levellized Salt Sep Plant'!$C$39-O38)&gt;0,(O22*'Levellized Salt Sep Plant'!$C$39-O38),0)</f>
        <v>325328.53760363266</v>
      </c>
      <c r="P28" s="5">
        <f>IF((P22*'Levellized Salt Sep Plant'!$C$39-P38)&gt;0,(P22*'Levellized Salt Sep Plant'!$C$39-P38),0)</f>
        <v>325328.53760363266</v>
      </c>
      <c r="Q28" s="5">
        <f>IF((Q22*'Levellized Salt Sep Plant'!$C$39-Q38)&gt;0,(Q22*'Levellized Salt Sep Plant'!$C$39-Q38),0)</f>
        <v>325328.53760363266</v>
      </c>
      <c r="R28" s="5">
        <f>IF((R22*'Levellized Salt Sep Plant'!$C$39-R38)&gt;0,(R22*'Levellized Salt Sep Plant'!$C$39-R38),0)</f>
        <v>325328.53760363266</v>
      </c>
      <c r="S28" s="5">
        <f>IF((S22*'Levellized Salt Sep Plant'!$C$39-S38)&gt;0,(S22*'Levellized Salt Sep Plant'!$C$39-S38),0)</f>
        <v>325328.53760363266</v>
      </c>
      <c r="T28" s="5">
        <f>IF((T22*'Levellized Salt Sep Plant'!$C$39-T38)&gt;0,(T22*'Levellized Salt Sep Plant'!$C$39-T38),0)</f>
        <v>325328.53760363266</v>
      </c>
      <c r="U28" s="5">
        <f>IF((U22*'Levellized Salt Sep Plant'!$C$39-U38)&gt;0,(U22*'Levellized Salt Sep Plant'!$C$39-U38),0)</f>
        <v>325328.53760363266</v>
      </c>
      <c r="V28" s="5">
        <f>IF((V22*'Levellized Salt Sep Plant'!$C$39-V38)&gt;0,(V22*'Levellized Salt Sep Plant'!$C$39-V38),0)</f>
        <v>325328.53760363266</v>
      </c>
      <c r="W28" s="5">
        <f>IF((W22*'Levellized Salt Sep Plant'!$C$39-W38)&gt;0,(W22*'Levellized Salt Sep Plant'!$C$39-W38),0)</f>
        <v>325328.53760363266</v>
      </c>
      <c r="X28" s="5">
        <f>IF((X22*'Levellized Salt Sep Plant'!$C$39-X38)&gt;0,(X22*'Levellized Salt Sep Plant'!$C$39-X38),0)</f>
        <v>325328.53760363266</v>
      </c>
      <c r="Y28" s="5">
        <f>IF((Y22*'Levellized Salt Sep Plant'!$C$39-Y38)&gt;0,(Y22*'Levellized Salt Sep Plant'!$C$39-Y38),0)</f>
        <v>325328.53760363266</v>
      </c>
      <c r="Z28" s="5">
        <f>IF((Z22*'Levellized Salt Sep Plant'!$C$39-Z38)&gt;0,(Z22*'Levellized Salt Sep Plant'!$C$39-Z38),0)</f>
        <v>325328.53760363266</v>
      </c>
      <c r="AA28" s="5">
        <f>IF((AA22*'Levellized Salt Sep Plant'!$C$39-AA38)&gt;0,(AA22*'Levellized Salt Sep Plant'!$C$39-AA38),0)</f>
        <v>325328.53760363266</v>
      </c>
      <c r="AB28" s="5">
        <f>IF((AB22*'Levellized Salt Sep Plant'!$C$39-AB38)&gt;0,(AB22*'Levellized Salt Sep Plant'!$C$39-AB38),0)</f>
        <v>325328.53760363266</v>
      </c>
      <c r="AC28" s="5">
        <f>IF((AC22*'Levellized Salt Sep Plant'!$C$39-AC38)&gt;0,(AC22*'Levellized Salt Sep Plant'!$C$39-AC38),0)</f>
        <v>325328.53760363266</v>
      </c>
      <c r="AD28" s="5">
        <f>IF((AD22*'Levellized Salt Sep Plant'!$C$39-AD38)&gt;0,(AD22*'Levellized Salt Sep Plant'!$C$39-AD38),0)</f>
        <v>325328.53760363266</v>
      </c>
      <c r="AE28" s="5">
        <f>IF((AE22*'Levellized Salt Sep Plant'!$C$39-AE38)&gt;0,(AE22*'Levellized Salt Sep Plant'!$C$39-AE38),0)</f>
        <v>325328.53760363266</v>
      </c>
      <c r="AF28" s="5">
        <f>IF((AF22*'Levellized Salt Sep Plant'!$C$39-AF38)&gt;0,(AF22*'Levellized Salt Sep Plant'!$C$39-AF38),0)</f>
        <v>325328.53760363266</v>
      </c>
      <c r="AG28" s="5">
        <f>IF((AG22*'Levellized Salt Sep Plant'!$C$39-AG38)&gt;0,(AG22*'Levellized Salt Sep Plant'!$C$39-AG38),0)</f>
        <v>325328.53760363266</v>
      </c>
      <c r="AH28" s="5">
        <f>IF((AH22*'Levellized Salt Sep Plant'!$C$39-AH38)&gt;0,(AH22*'Levellized Salt Sep Plant'!$C$39-AH38),0)</f>
        <v>325328.53760363266</v>
      </c>
      <c r="AI28" s="5">
        <f>IF((AI22*'Levellized Salt Sep Plant'!$C$39-AI38)&gt;0,(AI22*'Levellized Salt Sep Plant'!$C$39-AI38),0)</f>
        <v>325328.53760363266</v>
      </c>
      <c r="AJ28" s="5">
        <f>IF((AJ22*'Levellized Salt Sep Plant'!$C$39-AJ38)&gt;0,(AJ22*'Levellized Salt Sep Plant'!$C$39-AJ38),0)</f>
        <v>325328.53760363266</v>
      </c>
      <c r="AK28" s="5">
        <f>IF((AK22*'Levellized Salt Sep Plant'!$C$39-AK38)&gt;0,(AK22*'Levellized Salt Sep Plant'!$C$39-AK38),0)</f>
        <v>325328.53760363266</v>
      </c>
      <c r="AL28" s="5">
        <f>IF((AL22*'Levellized Salt Sep Plant'!$C$39-AL38)&gt;0,(AL22*'Levellized Salt Sep Plant'!$C$39-AL38),0)</f>
        <v>325328.53760363266</v>
      </c>
      <c r="AM28" s="5">
        <f>IF((AM22*'Levellized Salt Sep Plant'!$C$39-AM38)&gt;0,(AM22*'Levellized Salt Sep Plant'!$C$39-AM38),0)</f>
        <v>325328.53760363266</v>
      </c>
      <c r="AN28" s="5">
        <f>IF((AN22*'Levellized Salt Sep Plant'!$C$39-AN38)&gt;0,(AN22*'Levellized Salt Sep Plant'!$C$39-AN38),0)</f>
        <v>325328.53760363266</v>
      </c>
      <c r="AO28" s="5">
        <f>IF((AO22*'Levellized Salt Sep Plant'!$C$39-AO38)&gt;0,(AO22*'Levellized Salt Sep Plant'!$C$39-AO38),0)</f>
        <v>325328.53760363266</v>
      </c>
      <c r="AP28" s="5">
        <f>IF((AP22*'Levellized Salt Sep Plant'!$C$39-AP38)&gt;0,(AP22*'Levellized Salt Sep Plant'!$C$39-AP38),0)</f>
        <v>325328.53760363266</v>
      </c>
      <c r="AQ28" s="5">
        <f>IF((AQ22*'Levellized Salt Sep Plant'!$C$39-AQ38)&gt;0,(AQ22*'Levellized Salt Sep Plant'!$C$39-AQ38),0)</f>
        <v>325328.53760363266</v>
      </c>
      <c r="AR28" s="5">
        <f>IF((AR22*'Levellized Salt Sep Plant'!$C$39-AR38)&gt;0,(AR22*'Levellized Salt Sep Plant'!$C$39-AR38),0)</f>
        <v>325328.53760363266</v>
      </c>
      <c r="AS28" s="5">
        <f>IF((AS22*'Levellized Salt Sep Plant'!$C$39-AS38)&gt;0,(AS22*'Levellized Salt Sep Plant'!$C$39-AS38),0)</f>
        <v>325328.53760363266</v>
      </c>
      <c r="AT28" s="5">
        <f>IF((AT22*'Levellized Salt Sep Plant'!$C$39-AT38)&gt;0,(AT22*'Levellized Salt Sep Plant'!$C$39-AT38),0)</f>
        <v>325328.53760363266</v>
      </c>
      <c r="AU28" s="5">
        <f>IF((AU22*'Levellized Salt Sep Plant'!$C$39-AU38)&gt;0,(AU22*'Levellized Salt Sep Plant'!$C$39-AU38),0)</f>
        <v>325328.53760363266</v>
      </c>
      <c r="AV28" s="5">
        <f>IF((AV22*'Levellized Salt Sep Plant'!$C$39-AV38)&gt;0,(AV22*'Levellized Salt Sep Plant'!$C$39-AV38),0)</f>
        <v>325328.53760363266</v>
      </c>
      <c r="AW28" s="5">
        <f>IF((AW22*'Levellized Salt Sep Plant'!$C$39-AW38)&gt;0,(AW22*'Levellized Salt Sep Plant'!$C$39-AW38),0)</f>
        <v>325328.53760363266</v>
      </c>
      <c r="AX28" s="5">
        <f>IF((AX22*'Levellized Salt Sep Plant'!$C$39-AX38)&gt;0,(AX22*'Levellized Salt Sep Plant'!$C$39-AX38),0)</f>
        <v>325328.53760363266</v>
      </c>
      <c r="AY28" s="5">
        <f>IF((AY22*'Levellized Salt Sep Plant'!$C$39-AY38)&gt;0,(AY22*'Levellized Salt Sep Plant'!$C$39-AY38),0)</f>
        <v>325328.53760363266</v>
      </c>
      <c r="AZ28" s="5">
        <f>IF((AZ22*'Levellized Salt Sep Plant'!$C$39-AZ38)&gt;0,(AZ22*'Levellized Salt Sep Plant'!$C$39-AZ38),0)</f>
        <v>325328.53760363266</v>
      </c>
      <c r="BA28" s="5">
        <f>IF((BA22*'Levellized Salt Sep Plant'!$C$39-BA38)&gt;0,(BA22*'Levellized Salt Sep Plant'!$C$39-BA38),0)</f>
        <v>325328.53760363266</v>
      </c>
      <c r="BB28" s="5">
        <f>IF((BB22*'Levellized Salt Sep Plant'!$C$39-BB38)&gt;0,(BB22*'Levellized Salt Sep Plant'!$C$39-BB38),0)</f>
        <v>325328.53760363266</v>
      </c>
      <c r="BC28" s="5">
        <f>IF((BC22*'Levellized Salt Sep Plant'!$C$39-BC38)&gt;0,(BC22*'Levellized Salt Sep Plant'!$C$39-BC38),0)</f>
        <v>325328.53760363266</v>
      </c>
      <c r="BD28" s="5">
        <f>IF((BD22*'Levellized Salt Sep Plant'!$C$39-BD38)&gt;0,(BD22*'Levellized Salt Sep Plant'!$C$39-BD38),0)</f>
        <v>325328.53760363266</v>
      </c>
      <c r="BE28" s="5">
        <f>IF((BE22*'Levellized Salt Sep Plant'!$C$39-BE38)&gt;0,(BE22*'Levellized Salt Sep Plant'!$C$39-BE38),0)</f>
        <v>325328.53760363266</v>
      </c>
      <c r="BF28" s="5">
        <f>IF((BF22*'Levellized Salt Sep Plant'!$C$39-BF38)&gt;0,(BF22*'Levellized Salt Sep Plant'!$C$39-BF38),0)</f>
        <v>325328.53760363266</v>
      </c>
      <c r="BG28" s="5">
        <f>IF((BG22*'Levellized Salt Sep Plant'!$C$39-BG38)&gt;0,(BG22*'Levellized Salt Sep Plant'!$C$39-BG38),0)</f>
        <v>325328.53760363266</v>
      </c>
      <c r="BH28" s="5">
        <f>IF((BH22*'Levellized Salt Sep Plant'!$C$39-BH38)&gt;0,(BH22*'Levellized Salt Sep Plant'!$C$39-BH38),0)</f>
        <v>325328.53760363266</v>
      </c>
      <c r="BI28" s="5"/>
    </row>
    <row r="29" spans="1:61" s="82" customFormat="1" hidden="1" x14ac:dyDescent="0.2">
      <c r="A29" s="82" t="s">
        <v>10</v>
      </c>
      <c r="B29" s="156"/>
      <c r="C29" s="83">
        <f>IF(C21&gt;0,(D31-C31) * 'Salt Evaporation Pond Costs'!$B$46,0)</f>
        <v>0</v>
      </c>
      <c r="D29" s="83">
        <f>IF(D21&gt;0,(E31-D31) * 'Salt Evaporation Pond Costs'!$B$46,0)</f>
        <v>0</v>
      </c>
      <c r="E29" s="83">
        <f>IF(E21&gt;0,(F31-E31) * 'Salt Evaporation Pond Costs'!$B$46,0)</f>
        <v>255132.16845549626</v>
      </c>
      <c r="F29" s="83">
        <f>IF(F21&gt;0,(G31-F31) * 'Salt Evaporation Pond Costs'!$B$46,0)</f>
        <v>255132.16845549626</v>
      </c>
      <c r="G29" s="83">
        <f>IF(G21&gt;0,(H31-G31) * 'Salt Evaporation Pond Costs'!$B$46,0)</f>
        <v>255132.1684554964</v>
      </c>
      <c r="H29" s="83">
        <f>IF(H21&gt;0,(I31-H31) * 'Salt Evaporation Pond Costs'!$B$46,0)</f>
        <v>255132.16845549611</v>
      </c>
      <c r="I29" s="83">
        <f>IF(I21&gt;0,(J31-I31) * 'Salt Evaporation Pond Costs'!$B$46,0)</f>
        <v>255132.16845549661</v>
      </c>
      <c r="J29" s="83">
        <f>IF(J21&gt;0,(K31-J31) * 'Salt Evaporation Pond Costs'!$B$46,0)</f>
        <v>255132.16845549623</v>
      </c>
      <c r="K29" s="83">
        <f>IF(K21&gt;0,(L31-K31) * 'Salt Evaporation Pond Costs'!$B$46,0)</f>
        <v>255132.16845549623</v>
      </c>
      <c r="L29" s="83">
        <f>IF(L21&gt;0,(M31-L31) * 'Salt Evaporation Pond Costs'!$B$46,0)</f>
        <v>255132.16845549602</v>
      </c>
      <c r="M29" s="83">
        <f>IF(M21&gt;0,(N31-M31) * 'Salt Evaporation Pond Costs'!$B$46,0)</f>
        <v>0</v>
      </c>
      <c r="N29" s="83">
        <f>IF(N21&gt;0,(O31-N31) * 'Salt Evaporation Pond Costs'!$B$46,0)</f>
        <v>0</v>
      </c>
      <c r="O29" s="83">
        <f>IF(O21&gt;0,(P31-O31) * 'Salt Evaporation Pond Costs'!$B$46,0)</f>
        <v>0</v>
      </c>
      <c r="P29" s="83">
        <f>IF(P21&gt;0,(Q31-P31) * 'Salt Evaporation Pond Costs'!$B$46,0)</f>
        <v>0</v>
      </c>
      <c r="Q29" s="83">
        <f>IF(Q21&gt;0,(R31-Q31) * 'Salt Evaporation Pond Costs'!$B$46,0)</f>
        <v>0</v>
      </c>
      <c r="R29" s="83">
        <f>IF(R21&gt;0,(S31-R31) * 'Salt Evaporation Pond Costs'!$B$46,0)</f>
        <v>0</v>
      </c>
      <c r="S29" s="83">
        <f>IF(S21&gt;0,(T31-S31) * 'Salt Evaporation Pond Costs'!$B$46,0)</f>
        <v>0</v>
      </c>
      <c r="T29" s="83">
        <f>IF(T21&gt;0,(U31-T31) * 'Salt Evaporation Pond Costs'!$B$46,0)</f>
        <v>0</v>
      </c>
      <c r="U29" s="83">
        <f>IF(U21&gt;0,(V31-U31) * 'Salt Evaporation Pond Costs'!$B$46,0)</f>
        <v>0</v>
      </c>
      <c r="V29" s="83">
        <f>IF(V21&gt;0,(W31-V31) * 'Salt Evaporation Pond Costs'!$B$46,0)</f>
        <v>0</v>
      </c>
      <c r="W29" s="83">
        <f>IF(W21&gt;0,(X31-W31) * 'Salt Evaporation Pond Costs'!$B$46,0)</f>
        <v>0</v>
      </c>
      <c r="X29" s="83">
        <f>IF(X21&gt;0,(Y31-X31) * 'Salt Evaporation Pond Costs'!$B$46,0)</f>
        <v>0</v>
      </c>
      <c r="Y29" s="83">
        <f>IF(Y21&gt;0,(Z31-Y31) * 'Salt Evaporation Pond Costs'!$B$46,0)</f>
        <v>0</v>
      </c>
      <c r="Z29" s="83">
        <f>IF(Z21&gt;0,(AA31-Z31) * 'Salt Evaporation Pond Costs'!$B$46,0)</f>
        <v>0</v>
      </c>
      <c r="AA29" s="83">
        <f>IF(AA21&gt;0,(AB31-AA31) * 'Salt Evaporation Pond Costs'!$B$46,0)</f>
        <v>0</v>
      </c>
      <c r="AB29" s="83">
        <f>IF(AB21&gt;0,(AC31-AB31) * 'Salt Evaporation Pond Costs'!$B$46,0)</f>
        <v>0</v>
      </c>
      <c r="AC29" s="83">
        <f>IF(AC21&gt;0,(AD31-AC31) * 'Salt Evaporation Pond Costs'!$B$46,0)</f>
        <v>0</v>
      </c>
      <c r="AD29" s="83">
        <f>IF(AD21&gt;0,(AE31-AD31) * 'Salt Evaporation Pond Costs'!$B$46,0)</f>
        <v>0</v>
      </c>
      <c r="AE29" s="83">
        <f>IF(AE21&gt;0,(AF31-AE31) * 'Salt Evaporation Pond Costs'!$B$46,0)</f>
        <v>0</v>
      </c>
      <c r="AF29" s="83">
        <f>IF(AF21&gt;0,(AG31-AF31) * 'Salt Evaporation Pond Costs'!$B$46,0)</f>
        <v>0</v>
      </c>
      <c r="AG29" s="83">
        <f>IF(AG21&gt;0,(AH31-AG31) * 'Salt Evaporation Pond Costs'!$B$46,0)</f>
        <v>0</v>
      </c>
      <c r="AH29" s="83">
        <f>IF(AH21&gt;0,(AI31-AH31) * 'Salt Evaporation Pond Costs'!$B$46,0)</f>
        <v>0</v>
      </c>
      <c r="AI29" s="83">
        <f>IF(AI21&gt;0,(AJ31-AI31) * 'Salt Evaporation Pond Costs'!$B$46,0)</f>
        <v>0</v>
      </c>
      <c r="AJ29" s="83">
        <f>IF(AJ21&gt;0,(AK31-AJ31) * 'Salt Evaporation Pond Costs'!$B$46,0)</f>
        <v>0</v>
      </c>
      <c r="AK29" s="83">
        <f>IF(AK21&gt;0,(AL31-AK31) * 'Salt Evaporation Pond Costs'!$B$46,0)</f>
        <v>0</v>
      </c>
      <c r="AL29" s="83">
        <f>IF(AL21&gt;0,(AM31-AL31) * 'Salt Evaporation Pond Costs'!$B$46,0)</f>
        <v>0</v>
      </c>
      <c r="AM29" s="83">
        <f>IF(AM21&gt;0,(BI31-AM31) * 'Salt Evaporation Pond Costs'!$B$46,0)</f>
        <v>0</v>
      </c>
      <c r="AN29" s="83">
        <f>IF(AN21&gt;0,(BJ31-AN31) * 'Salt Evaporation Pond Costs'!$B$46,0)</f>
        <v>0</v>
      </c>
      <c r="AO29" s="83">
        <f>IF(AO21&gt;0,(BK31-AO31) * 'Salt Evaporation Pond Costs'!$B$46,0)</f>
        <v>0</v>
      </c>
      <c r="AP29" s="83">
        <f>IF(AP21&gt;0,(BL31-AP31) * 'Salt Evaporation Pond Costs'!$B$46,0)</f>
        <v>0</v>
      </c>
      <c r="AQ29" s="83">
        <f>IF(AQ21&gt;0,(BM31-AQ31) * 'Salt Evaporation Pond Costs'!$B$46,0)</f>
        <v>0</v>
      </c>
      <c r="AR29" s="83">
        <f>IF(AR21&gt;0,(BN31-AR31) * 'Salt Evaporation Pond Costs'!$B$46,0)</f>
        <v>0</v>
      </c>
      <c r="AS29" s="83">
        <f>IF(AS21&gt;0,(BO31-AS31) * 'Salt Evaporation Pond Costs'!$B$46,0)</f>
        <v>0</v>
      </c>
      <c r="AT29" s="83">
        <f>IF(AT21&gt;0,(BP31-AT31) * 'Salt Evaporation Pond Costs'!$B$46,0)</f>
        <v>0</v>
      </c>
      <c r="AU29" s="83">
        <f>IF(AU21&gt;0,(BQ31-AU31) * 'Salt Evaporation Pond Costs'!$B$46,0)</f>
        <v>0</v>
      </c>
      <c r="AV29" s="83">
        <f>IF(AV21&gt;0,(BR31-AV31) * 'Salt Evaporation Pond Costs'!$B$46,0)</f>
        <v>0</v>
      </c>
      <c r="AW29" s="83">
        <f>IF(AW21&gt;0,(BS31-AW31) * 'Salt Evaporation Pond Costs'!$B$46,0)</f>
        <v>0</v>
      </c>
      <c r="AX29" s="83">
        <f>IF(AX21&gt;0,(BT31-AX31) * 'Salt Evaporation Pond Costs'!$B$46,0)</f>
        <v>0</v>
      </c>
      <c r="AY29" s="83">
        <f>IF(AY21&gt;0,(BU31-AY31) * 'Salt Evaporation Pond Costs'!$B$46,0)</f>
        <v>0</v>
      </c>
      <c r="AZ29" s="83">
        <f>IF(AZ21&gt;0,(BV31-AZ31) * 'Salt Evaporation Pond Costs'!$B$46,0)</f>
        <v>0</v>
      </c>
      <c r="BA29" s="83">
        <f>IF(BA21&gt;0,(BW31-BA31) * 'Salt Evaporation Pond Costs'!$B$46,0)</f>
        <v>0</v>
      </c>
      <c r="BB29" s="83">
        <f>IF(BB21&gt;0,(BX31-BB31) * 'Salt Evaporation Pond Costs'!$B$46,0)</f>
        <v>0</v>
      </c>
      <c r="BC29" s="83">
        <f>IF(BC21&gt;0,(BY31-BC31) * 'Salt Evaporation Pond Costs'!$B$46,0)</f>
        <v>0</v>
      </c>
      <c r="BD29" s="83">
        <f>IF(BD21&gt;0,(BZ31-BD31) * 'Salt Evaporation Pond Costs'!$B$46,0)</f>
        <v>0</v>
      </c>
      <c r="BE29" s="83">
        <f>IF(BE21&gt;0,(CA31-BE31) * 'Salt Evaporation Pond Costs'!$B$46,0)</f>
        <v>0</v>
      </c>
      <c r="BF29" s="83">
        <f>IF(BF21&gt;0,(CB31-BF31) * 'Salt Evaporation Pond Costs'!$B$46,0)</f>
        <v>0</v>
      </c>
      <c r="BG29" s="83">
        <f>IF(BG21&gt;0,(CC31-BG31) * 'Salt Evaporation Pond Costs'!$B$46,0)</f>
        <v>0</v>
      </c>
      <c r="BH29" s="83">
        <f>IF(BH21&gt;0,(CD31-BH31) * 'Salt Evaporation Pond Costs'!$B$46,0)</f>
        <v>0</v>
      </c>
      <c r="BI29" s="83"/>
    </row>
    <row r="30" spans="1:61" s="82" customFormat="1" hidden="1" x14ac:dyDescent="0.2">
      <c r="A30" s="82" t="s">
        <v>11</v>
      </c>
      <c r="B30" s="156"/>
      <c r="C30" s="83">
        <f>C31 * 'Salt Evaporation Pond Costs'!$B$53</f>
        <v>0</v>
      </c>
      <c r="D30" s="83">
        <f>D31 * 'Salt Evaporation Pond Costs'!$B$53</f>
        <v>0</v>
      </c>
      <c r="E30" s="83">
        <f>E31 * 'Salt Evaporation Pond Costs'!$B$53</f>
        <v>0</v>
      </c>
      <c r="F30" s="83">
        <f>F31 * 'Salt Evaporation Pond Costs'!$B$53</f>
        <v>15802.171260260597</v>
      </c>
      <c r="G30" s="83">
        <f>G31 * 'Salt Evaporation Pond Costs'!$B$53</f>
        <v>31604.342520521193</v>
      </c>
      <c r="H30" s="83">
        <f>H31 * 'Salt Evaporation Pond Costs'!$B$53</f>
        <v>47406.513780781803</v>
      </c>
      <c r="I30" s="83">
        <f>I31 * 'Salt Evaporation Pond Costs'!$B$53</f>
        <v>63208.685041042387</v>
      </c>
      <c r="J30" s="83">
        <f>J31 * 'Salt Evaporation Pond Costs'!$B$53</f>
        <v>79010.856301303007</v>
      </c>
      <c r="K30" s="83">
        <f>K31 * 'Salt Evaporation Pond Costs'!$B$53</f>
        <v>94813.027561563606</v>
      </c>
      <c r="L30" s="83">
        <f>L31 * 'Salt Evaporation Pond Costs'!$B$53</f>
        <v>110615.19882182419</v>
      </c>
      <c r="M30" s="83">
        <f>M31 * 'Salt Evaporation Pond Costs'!$B$53</f>
        <v>126417.37008208477</v>
      </c>
      <c r="N30" s="83">
        <f>N31 * 'Salt Evaporation Pond Costs'!$B$53</f>
        <v>126417.37008208477</v>
      </c>
      <c r="O30" s="83">
        <f>O31 * 'Salt Evaporation Pond Costs'!$B$53</f>
        <v>126417.37008208477</v>
      </c>
      <c r="P30" s="83">
        <f>P31 * 'Salt Evaporation Pond Costs'!$B$53</f>
        <v>126417.37008208477</v>
      </c>
      <c r="Q30" s="83">
        <f>Q31 * 'Salt Evaporation Pond Costs'!$B$53</f>
        <v>126417.37008208477</v>
      </c>
      <c r="R30" s="83">
        <f>R31 * 'Salt Evaporation Pond Costs'!$B$53</f>
        <v>126417.37008208477</v>
      </c>
      <c r="S30" s="83">
        <f>S31 * 'Salt Evaporation Pond Costs'!$B$53</f>
        <v>126417.37008208477</v>
      </c>
      <c r="T30" s="83">
        <f>T31 * 'Salt Evaporation Pond Costs'!$B$53</f>
        <v>126417.37008208477</v>
      </c>
      <c r="U30" s="83">
        <f>U31 * 'Salt Evaporation Pond Costs'!$B$53</f>
        <v>126417.37008208477</v>
      </c>
      <c r="V30" s="83">
        <f>V31 * 'Salt Evaporation Pond Costs'!$B$53</f>
        <v>126417.37008208477</v>
      </c>
      <c r="W30" s="83">
        <f>W31 * 'Salt Evaporation Pond Costs'!$B$53</f>
        <v>126417.37008208477</v>
      </c>
      <c r="X30" s="83">
        <f>X31 * 'Salt Evaporation Pond Costs'!$B$53</f>
        <v>126417.37008208477</v>
      </c>
      <c r="Y30" s="83">
        <f>Y31 * 'Salt Evaporation Pond Costs'!$B$53</f>
        <v>126417.37008208477</v>
      </c>
      <c r="Z30" s="83">
        <f>Z31 * 'Salt Evaporation Pond Costs'!$B$53</f>
        <v>126417.37008208477</v>
      </c>
      <c r="AA30" s="83">
        <f>AA31 * 'Salt Evaporation Pond Costs'!$B$53</f>
        <v>126417.37008208477</v>
      </c>
      <c r="AB30" s="83">
        <f>AB31 * 'Salt Evaporation Pond Costs'!$B$53</f>
        <v>126417.37008208477</v>
      </c>
      <c r="AC30" s="83">
        <f>AC31 * 'Salt Evaporation Pond Costs'!$B$53</f>
        <v>126417.37008208477</v>
      </c>
      <c r="AD30" s="83">
        <f>AD31 * 'Salt Evaporation Pond Costs'!$B$53</f>
        <v>126417.37008208477</v>
      </c>
      <c r="AE30" s="83">
        <f>AE31 * 'Salt Evaporation Pond Costs'!$B$53</f>
        <v>126417.37008208477</v>
      </c>
      <c r="AF30" s="83">
        <f>AF31 * 'Salt Evaporation Pond Costs'!$B$53</f>
        <v>126417.37008208477</v>
      </c>
      <c r="AG30" s="83">
        <f>AG31 * 'Salt Evaporation Pond Costs'!$B$53</f>
        <v>126417.37008208477</v>
      </c>
      <c r="AH30" s="83">
        <f>AH31 * 'Salt Evaporation Pond Costs'!$B$53</f>
        <v>126417.37008208477</v>
      </c>
      <c r="AI30" s="83">
        <f>AI31 * 'Salt Evaporation Pond Costs'!$B$53</f>
        <v>126417.37008208477</v>
      </c>
      <c r="AJ30" s="83">
        <f>AJ31 * 'Salt Evaporation Pond Costs'!$B$53</f>
        <v>126417.37008208477</v>
      </c>
      <c r="AK30" s="83">
        <f>AK31 * 'Salt Evaporation Pond Costs'!$B$53</f>
        <v>126417.37008208477</v>
      </c>
      <c r="AL30" s="83">
        <f>AL31 * 'Salt Evaporation Pond Costs'!$B$53</f>
        <v>126417.37008208477</v>
      </c>
      <c r="AM30" s="83">
        <f>AM31 * 'Salt Evaporation Pond Costs'!$B$53</f>
        <v>126417.37008208477</v>
      </c>
      <c r="AN30" s="83">
        <f>AN31 * 'Salt Evaporation Pond Costs'!$B$53</f>
        <v>126417.37008208477</v>
      </c>
      <c r="AO30" s="83">
        <f>AO31 * 'Salt Evaporation Pond Costs'!$B$53</f>
        <v>126417.37008208477</v>
      </c>
      <c r="AP30" s="83">
        <f>AP31 * 'Salt Evaporation Pond Costs'!$B$53</f>
        <v>126417.37008208477</v>
      </c>
      <c r="AQ30" s="83">
        <f>AQ31 * 'Salt Evaporation Pond Costs'!$B$53</f>
        <v>126417.37008208477</v>
      </c>
      <c r="AR30" s="83">
        <f>AR31 * 'Salt Evaporation Pond Costs'!$B$53</f>
        <v>126417.37008208477</v>
      </c>
      <c r="AS30" s="83">
        <f>AS31 * 'Salt Evaporation Pond Costs'!$B$53</f>
        <v>126417.37008208477</v>
      </c>
      <c r="AT30" s="83">
        <f>AT31 * 'Salt Evaporation Pond Costs'!$B$53</f>
        <v>126417.37008208477</v>
      </c>
      <c r="AU30" s="83">
        <f>AU31 * 'Salt Evaporation Pond Costs'!$B$53</f>
        <v>126417.37008208477</v>
      </c>
      <c r="AV30" s="83">
        <f>AV31 * 'Salt Evaporation Pond Costs'!$B$53</f>
        <v>126417.37008208477</v>
      </c>
      <c r="AW30" s="83">
        <f>AW31 * 'Salt Evaporation Pond Costs'!$B$53</f>
        <v>126417.37008208477</v>
      </c>
      <c r="AX30" s="83">
        <f>AX31 * 'Salt Evaporation Pond Costs'!$B$53</f>
        <v>126417.37008208477</v>
      </c>
      <c r="AY30" s="83">
        <f>AY31 * 'Salt Evaporation Pond Costs'!$B$53</f>
        <v>126417.37008208477</v>
      </c>
      <c r="AZ30" s="83">
        <f>AZ31 * 'Salt Evaporation Pond Costs'!$B$53</f>
        <v>126417.37008208477</v>
      </c>
      <c r="BA30" s="83">
        <f>BA31 * 'Salt Evaporation Pond Costs'!$B$53</f>
        <v>126417.37008208477</v>
      </c>
      <c r="BB30" s="83">
        <f>BB31 * 'Salt Evaporation Pond Costs'!$B$53</f>
        <v>126417.37008208477</v>
      </c>
      <c r="BC30" s="83">
        <f>BC31 * 'Salt Evaporation Pond Costs'!$B$53</f>
        <v>126417.37008208477</v>
      </c>
      <c r="BD30" s="83">
        <f>BD31 * 'Salt Evaporation Pond Costs'!$B$53</f>
        <v>126417.37008208477</v>
      </c>
      <c r="BE30" s="83">
        <f>BE31 * 'Salt Evaporation Pond Costs'!$B$53</f>
        <v>126417.37008208477</v>
      </c>
      <c r="BF30" s="83">
        <f>BF31 * 'Salt Evaporation Pond Costs'!$B$53</f>
        <v>126417.37008208477</v>
      </c>
      <c r="BG30" s="83">
        <f>BG31 * 'Salt Evaporation Pond Costs'!$B$53</f>
        <v>126417.37008208477</v>
      </c>
      <c r="BH30" s="83">
        <f>BH31 * 'Salt Evaporation Pond Costs'!$B$53</f>
        <v>126417.37008208477</v>
      </c>
      <c r="BI30" s="83"/>
    </row>
    <row r="31" spans="1:61" s="129" customFormat="1" x14ac:dyDescent="0.2">
      <c r="A31" s="129" t="s">
        <v>800</v>
      </c>
      <c r="B31" s="157"/>
      <c r="C31" s="130">
        <f xml:space="preserve"> C28 / 'Salt Evaporation Pond Costs'!$B$62</f>
        <v>0</v>
      </c>
      <c r="D31" s="130">
        <f xml:space="preserve"> D28 / 'Salt Evaporation Pond Costs'!$B$62</f>
        <v>0</v>
      </c>
      <c r="E31" s="130">
        <f xml:space="preserve"> E28 / 'Salt Evaporation Pond Costs'!$B$62</f>
        <v>0</v>
      </c>
      <c r="F31" s="130">
        <f xml:space="preserve"> F28 / 'Salt Evaporation Pond Costs'!$B$62</f>
        <v>9.2410358247137996</v>
      </c>
      <c r="G31" s="130">
        <f xml:space="preserve"> G28 / 'Salt Evaporation Pond Costs'!$B$62</f>
        <v>18.482071649427599</v>
      </c>
      <c r="H31" s="130">
        <f xml:space="preserve"> H28 / 'Salt Evaporation Pond Costs'!$B$62</f>
        <v>27.723107474141404</v>
      </c>
      <c r="I31" s="130">
        <f xml:space="preserve"> I28 / 'Salt Evaporation Pond Costs'!$B$62</f>
        <v>36.964143298855198</v>
      </c>
      <c r="J31" s="130">
        <f xml:space="preserve"> J28 / 'Salt Evaporation Pond Costs'!$B$62</f>
        <v>46.20517912356901</v>
      </c>
      <c r="K31" s="130">
        <f xml:space="preserve"> K28 / 'Salt Evaporation Pond Costs'!$B$62</f>
        <v>55.446214948282808</v>
      </c>
      <c r="L31" s="130">
        <f xml:space="preserve"> L28 / 'Salt Evaporation Pond Costs'!$B$62</f>
        <v>64.687250772996606</v>
      </c>
      <c r="M31" s="130">
        <f xml:space="preserve"> M28 / 'Salt Evaporation Pond Costs'!$B$62</f>
        <v>73.928286597710397</v>
      </c>
      <c r="N31" s="130">
        <f xml:space="preserve"> N28 / 'Salt Evaporation Pond Costs'!$B$62</f>
        <v>73.928286597710397</v>
      </c>
      <c r="O31" s="130">
        <f xml:space="preserve"> O28 / 'Salt Evaporation Pond Costs'!$B$62</f>
        <v>73.928286597710397</v>
      </c>
      <c r="P31" s="130">
        <f xml:space="preserve"> P28 / 'Salt Evaporation Pond Costs'!$B$62</f>
        <v>73.928286597710397</v>
      </c>
      <c r="Q31" s="130">
        <f xml:space="preserve"> Q28 / 'Salt Evaporation Pond Costs'!$B$62</f>
        <v>73.928286597710397</v>
      </c>
      <c r="R31" s="130">
        <f xml:space="preserve"> R28 / 'Salt Evaporation Pond Costs'!$B$62</f>
        <v>73.928286597710397</v>
      </c>
      <c r="S31" s="130">
        <f xml:space="preserve"> S28 / 'Salt Evaporation Pond Costs'!$B$62</f>
        <v>73.928286597710397</v>
      </c>
      <c r="T31" s="130">
        <f xml:space="preserve"> T28 / 'Salt Evaporation Pond Costs'!$B$62</f>
        <v>73.928286597710397</v>
      </c>
      <c r="U31" s="130">
        <f xml:space="preserve"> U28 / 'Salt Evaporation Pond Costs'!$B$62</f>
        <v>73.928286597710397</v>
      </c>
      <c r="V31" s="130">
        <f xml:space="preserve"> V28 / 'Salt Evaporation Pond Costs'!$B$62</f>
        <v>73.928286597710397</v>
      </c>
      <c r="W31" s="130">
        <f xml:space="preserve"> W28 / 'Salt Evaporation Pond Costs'!$B$62</f>
        <v>73.928286597710397</v>
      </c>
      <c r="X31" s="130">
        <f xml:space="preserve"> X28 / 'Salt Evaporation Pond Costs'!$B$62</f>
        <v>73.928286597710397</v>
      </c>
      <c r="Y31" s="130">
        <f xml:space="preserve"> Y28 / 'Salt Evaporation Pond Costs'!$B$62</f>
        <v>73.928286597710397</v>
      </c>
      <c r="Z31" s="130">
        <f xml:space="preserve"> Z28 / 'Salt Evaporation Pond Costs'!$B$62</f>
        <v>73.928286597710397</v>
      </c>
      <c r="AA31" s="130">
        <f xml:space="preserve"> AA28 / 'Salt Evaporation Pond Costs'!$B$62</f>
        <v>73.928286597710397</v>
      </c>
      <c r="AB31" s="130">
        <f xml:space="preserve"> AB28 / 'Salt Evaporation Pond Costs'!$B$62</f>
        <v>73.928286597710397</v>
      </c>
      <c r="AC31" s="130">
        <f xml:space="preserve"> AC28 / 'Salt Evaporation Pond Costs'!$B$62</f>
        <v>73.928286597710397</v>
      </c>
      <c r="AD31" s="130">
        <f xml:space="preserve"> AD28 / 'Salt Evaporation Pond Costs'!$B$62</f>
        <v>73.928286597710397</v>
      </c>
      <c r="AE31" s="130">
        <f xml:space="preserve"> AE28 / 'Salt Evaporation Pond Costs'!$B$62</f>
        <v>73.928286597710397</v>
      </c>
      <c r="AF31" s="130">
        <f xml:space="preserve"> AF28 / 'Salt Evaporation Pond Costs'!$B$62</f>
        <v>73.928286597710397</v>
      </c>
      <c r="AG31" s="130">
        <f xml:space="preserve"> AG28 / 'Salt Evaporation Pond Costs'!$B$62</f>
        <v>73.928286597710397</v>
      </c>
      <c r="AH31" s="130">
        <f xml:space="preserve"> AH28 / 'Salt Evaporation Pond Costs'!$B$62</f>
        <v>73.928286597710397</v>
      </c>
      <c r="AI31" s="130">
        <f xml:space="preserve"> AI28 / 'Salt Evaporation Pond Costs'!$B$62</f>
        <v>73.928286597710397</v>
      </c>
      <c r="AJ31" s="130">
        <f xml:space="preserve"> AJ28 / 'Salt Evaporation Pond Costs'!$B$62</f>
        <v>73.928286597710397</v>
      </c>
      <c r="AK31" s="130">
        <f xml:space="preserve"> AK28 / 'Salt Evaporation Pond Costs'!$B$62</f>
        <v>73.928286597710397</v>
      </c>
      <c r="AL31" s="130">
        <f xml:space="preserve"> AL28 / 'Salt Evaporation Pond Costs'!$B$62</f>
        <v>73.928286597710397</v>
      </c>
      <c r="AM31" s="130">
        <f xml:space="preserve"> AM28 / 'Salt Evaporation Pond Costs'!$B$62</f>
        <v>73.928286597710397</v>
      </c>
      <c r="AN31" s="130">
        <f xml:space="preserve"> AN28 / 'Salt Evaporation Pond Costs'!$B$62</f>
        <v>73.928286597710397</v>
      </c>
      <c r="AO31" s="130">
        <f xml:space="preserve"> AO28 / 'Salt Evaporation Pond Costs'!$B$62</f>
        <v>73.928286597710397</v>
      </c>
      <c r="AP31" s="130">
        <f xml:space="preserve"> AP28 / 'Salt Evaporation Pond Costs'!$B$62</f>
        <v>73.928286597710397</v>
      </c>
      <c r="AQ31" s="130">
        <f xml:space="preserve"> AQ28 / 'Salt Evaporation Pond Costs'!$B$62</f>
        <v>73.928286597710397</v>
      </c>
      <c r="AR31" s="130">
        <f xml:space="preserve"> AR28 / 'Salt Evaporation Pond Costs'!$B$62</f>
        <v>73.928286597710397</v>
      </c>
      <c r="AS31" s="130">
        <f xml:space="preserve"> AS28 / 'Salt Evaporation Pond Costs'!$B$62</f>
        <v>73.928286597710397</v>
      </c>
      <c r="AT31" s="130">
        <f xml:space="preserve"> AT28 / 'Salt Evaporation Pond Costs'!$B$62</f>
        <v>73.928286597710397</v>
      </c>
      <c r="AU31" s="130">
        <f xml:space="preserve"> AU28 / 'Salt Evaporation Pond Costs'!$B$62</f>
        <v>73.928286597710397</v>
      </c>
      <c r="AV31" s="130">
        <f xml:space="preserve"> AV28 / 'Salt Evaporation Pond Costs'!$B$62</f>
        <v>73.928286597710397</v>
      </c>
      <c r="AW31" s="130">
        <f xml:space="preserve"> AW28 / 'Salt Evaporation Pond Costs'!$B$62</f>
        <v>73.928286597710397</v>
      </c>
      <c r="AX31" s="130">
        <f xml:space="preserve"> AX28 / 'Salt Evaporation Pond Costs'!$B$62</f>
        <v>73.928286597710397</v>
      </c>
      <c r="AY31" s="130">
        <f xml:space="preserve"> AY28 / 'Salt Evaporation Pond Costs'!$B$62</f>
        <v>73.928286597710397</v>
      </c>
      <c r="AZ31" s="130">
        <f xml:space="preserve"> AZ28 / 'Salt Evaporation Pond Costs'!$B$62</f>
        <v>73.928286597710397</v>
      </c>
      <c r="BA31" s="130">
        <f xml:space="preserve"> BA28 / 'Salt Evaporation Pond Costs'!$B$62</f>
        <v>73.928286597710397</v>
      </c>
      <c r="BB31" s="130">
        <f xml:space="preserve"> BB28 / 'Salt Evaporation Pond Costs'!$B$62</f>
        <v>73.928286597710397</v>
      </c>
      <c r="BC31" s="130">
        <f xml:space="preserve"> BC28 / 'Salt Evaporation Pond Costs'!$B$62</f>
        <v>73.928286597710397</v>
      </c>
      <c r="BD31" s="130">
        <f xml:space="preserve"> BD28 / 'Salt Evaporation Pond Costs'!$B$62</f>
        <v>73.928286597710397</v>
      </c>
      <c r="BE31" s="130">
        <f xml:space="preserve"> BE28 / 'Salt Evaporation Pond Costs'!$B$62</f>
        <v>73.928286597710397</v>
      </c>
      <c r="BF31" s="130">
        <f xml:space="preserve"> BF28 / 'Salt Evaporation Pond Costs'!$B$62</f>
        <v>73.928286597710397</v>
      </c>
      <c r="BG31" s="130">
        <f xml:space="preserve"> BG28 / 'Salt Evaporation Pond Costs'!$B$62</f>
        <v>73.928286597710397</v>
      </c>
      <c r="BH31" s="130">
        <f xml:space="preserve"> BH28 / 'Salt Evaporation Pond Costs'!$B$62</f>
        <v>73.928286597710397</v>
      </c>
      <c r="BI31" s="131"/>
    </row>
    <row r="32" spans="1:61" hidden="1" x14ac:dyDescent="0.2">
      <c r="A32" t="s">
        <v>790</v>
      </c>
      <c r="B32" s="112">
        <v>2.1</v>
      </c>
      <c r="C32" s="103">
        <v>90</v>
      </c>
      <c r="D32" s="10">
        <f xml:space="preserve"> C32 + $B32</f>
        <v>92.1</v>
      </c>
      <c r="E32" s="10">
        <f t="shared" ref="E32:BH32" si="11" xml:space="preserve"> D32 + $B32</f>
        <v>94.199999999999989</v>
      </c>
      <c r="F32" s="10">
        <f t="shared" si="11"/>
        <v>96.299999999999983</v>
      </c>
      <c r="G32" s="10">
        <f t="shared" si="11"/>
        <v>98.399999999999977</v>
      </c>
      <c r="H32" s="10">
        <f t="shared" si="11"/>
        <v>100.49999999999997</v>
      </c>
      <c r="I32" s="10">
        <f t="shared" si="11"/>
        <v>102.59999999999997</v>
      </c>
      <c r="J32" s="10">
        <f t="shared" si="11"/>
        <v>104.69999999999996</v>
      </c>
      <c r="K32" s="10">
        <f t="shared" si="11"/>
        <v>106.79999999999995</v>
      </c>
      <c r="L32" s="10">
        <f t="shared" si="11"/>
        <v>108.89999999999995</v>
      </c>
      <c r="M32" s="10">
        <f t="shared" si="11"/>
        <v>110.99999999999994</v>
      </c>
      <c r="N32" s="10">
        <f t="shared" si="11"/>
        <v>113.09999999999994</v>
      </c>
      <c r="O32" s="10">
        <f t="shared" si="11"/>
        <v>115.19999999999993</v>
      </c>
      <c r="P32" s="10">
        <f t="shared" si="11"/>
        <v>117.29999999999993</v>
      </c>
      <c r="Q32" s="10">
        <f t="shared" si="11"/>
        <v>119.39999999999992</v>
      </c>
      <c r="R32" s="10">
        <f t="shared" si="11"/>
        <v>121.49999999999991</v>
      </c>
      <c r="S32" s="10">
        <f t="shared" si="11"/>
        <v>123.59999999999991</v>
      </c>
      <c r="T32" s="10">
        <f t="shared" si="11"/>
        <v>125.6999999999999</v>
      </c>
      <c r="U32" s="10">
        <f t="shared" si="11"/>
        <v>127.7999999999999</v>
      </c>
      <c r="V32" s="10">
        <f t="shared" si="11"/>
        <v>129.89999999999989</v>
      </c>
      <c r="W32" s="10">
        <f t="shared" si="11"/>
        <v>131.99999999999989</v>
      </c>
      <c r="X32" s="10">
        <f t="shared" si="11"/>
        <v>134.09999999999988</v>
      </c>
      <c r="Y32" s="10">
        <f t="shared" si="11"/>
        <v>136.19999999999987</v>
      </c>
      <c r="Z32" s="10">
        <f t="shared" si="11"/>
        <v>138.29999999999987</v>
      </c>
      <c r="AA32" s="10">
        <f t="shared" si="11"/>
        <v>140.39999999999986</v>
      </c>
      <c r="AB32" s="10">
        <f t="shared" si="11"/>
        <v>142.49999999999986</v>
      </c>
      <c r="AC32" s="10">
        <f t="shared" si="11"/>
        <v>144.59999999999985</v>
      </c>
      <c r="AD32" s="10">
        <f t="shared" si="11"/>
        <v>146.69999999999985</v>
      </c>
      <c r="AE32" s="10">
        <f t="shared" si="11"/>
        <v>148.79999999999984</v>
      </c>
      <c r="AF32" s="10">
        <f t="shared" si="11"/>
        <v>150.89999999999984</v>
      </c>
      <c r="AG32" s="10">
        <f t="shared" si="11"/>
        <v>152.99999999999983</v>
      </c>
      <c r="AH32" s="10">
        <f t="shared" si="11"/>
        <v>155.09999999999982</v>
      </c>
      <c r="AI32" s="10">
        <f t="shared" si="11"/>
        <v>157.19999999999982</v>
      </c>
      <c r="AJ32" s="10">
        <f t="shared" si="11"/>
        <v>159.29999999999981</v>
      </c>
      <c r="AK32" s="10">
        <f t="shared" si="11"/>
        <v>161.39999999999981</v>
      </c>
      <c r="AL32" s="10">
        <f t="shared" si="11"/>
        <v>163.4999999999998</v>
      </c>
      <c r="AM32" s="10">
        <f t="shared" si="11"/>
        <v>165.5999999999998</v>
      </c>
      <c r="AN32" s="10">
        <f t="shared" si="11"/>
        <v>167.69999999999979</v>
      </c>
      <c r="AO32" s="10">
        <f t="shared" si="11"/>
        <v>169.79999999999978</v>
      </c>
      <c r="AP32" s="10">
        <f t="shared" si="11"/>
        <v>171.89999999999978</v>
      </c>
      <c r="AQ32" s="10">
        <f t="shared" si="11"/>
        <v>173.99999999999977</v>
      </c>
      <c r="AR32" s="10">
        <f t="shared" si="11"/>
        <v>176.09999999999977</v>
      </c>
      <c r="AS32" s="10">
        <f t="shared" si="11"/>
        <v>178.19999999999976</v>
      </c>
      <c r="AT32" s="10">
        <f t="shared" si="11"/>
        <v>180.29999999999976</v>
      </c>
      <c r="AU32" s="10">
        <f t="shared" si="11"/>
        <v>182.39999999999975</v>
      </c>
      <c r="AV32" s="10">
        <f t="shared" si="11"/>
        <v>184.49999999999974</v>
      </c>
      <c r="AW32" s="10">
        <f t="shared" si="11"/>
        <v>186.59999999999974</v>
      </c>
      <c r="AX32" s="10">
        <f t="shared" si="11"/>
        <v>188.69999999999973</v>
      </c>
      <c r="AY32" s="10">
        <f t="shared" si="11"/>
        <v>190.79999999999973</v>
      </c>
      <c r="AZ32" s="10">
        <f t="shared" si="11"/>
        <v>192.89999999999972</v>
      </c>
      <c r="BA32" s="10">
        <f t="shared" si="11"/>
        <v>194.99999999999972</v>
      </c>
      <c r="BB32" s="10">
        <f t="shared" si="11"/>
        <v>197.09999999999971</v>
      </c>
      <c r="BC32" s="10">
        <f t="shared" si="11"/>
        <v>199.1999999999997</v>
      </c>
      <c r="BD32" s="10">
        <f t="shared" si="11"/>
        <v>201.2999999999997</v>
      </c>
      <c r="BE32" s="10">
        <f t="shared" si="11"/>
        <v>203.39999999999969</v>
      </c>
      <c r="BF32" s="10">
        <f t="shared" si="11"/>
        <v>205.49999999999969</v>
      </c>
      <c r="BG32" s="10">
        <f t="shared" si="11"/>
        <v>207.59999999999968</v>
      </c>
      <c r="BH32" s="10">
        <f t="shared" si="11"/>
        <v>209.69999999999968</v>
      </c>
      <c r="BI32" s="10"/>
    </row>
    <row r="33" spans="1:61" s="84" customFormat="1" hidden="1" x14ac:dyDescent="0.2">
      <c r="A33" s="84" t="s">
        <v>12</v>
      </c>
      <c r="B33" s="158"/>
      <c r="C33" s="85">
        <f t="shared" ref="C33:BH33" si="12">C28*C32</f>
        <v>0</v>
      </c>
      <c r="D33" s="85">
        <f t="shared" si="12"/>
        <v>0</v>
      </c>
      <c r="E33" s="85">
        <f t="shared" si="12"/>
        <v>0</v>
      </c>
      <c r="F33" s="85">
        <f>F28*F32</f>
        <v>3916142.2714037276</v>
      </c>
      <c r="G33" s="85">
        <f t="shared" si="12"/>
        <v>8003082.0250493614</v>
      </c>
      <c r="H33" s="85">
        <f t="shared" si="12"/>
        <v>12260819.260936905</v>
      </c>
      <c r="I33" s="85">
        <f t="shared" si="12"/>
        <v>16689353.97906635</v>
      </c>
      <c r="J33" s="85">
        <f t="shared" si="12"/>
        <v>21288686.179437708</v>
      </c>
      <c r="K33" s="85">
        <f t="shared" si="12"/>
        <v>26058815.862050969</v>
      </c>
      <c r="L33" s="85">
        <f t="shared" si="12"/>
        <v>30999743.026906133</v>
      </c>
      <c r="M33" s="85">
        <f t="shared" si="12"/>
        <v>36111467.674003206</v>
      </c>
      <c r="N33" s="85">
        <f t="shared" si="12"/>
        <v>36794657.602970831</v>
      </c>
      <c r="O33" s="85">
        <f t="shared" si="12"/>
        <v>37477847.531938463</v>
      </c>
      <c r="P33" s="85">
        <f t="shared" si="12"/>
        <v>38161037.460906088</v>
      </c>
      <c r="Q33" s="85">
        <f t="shared" si="12"/>
        <v>38844227.389873713</v>
      </c>
      <c r="R33" s="85">
        <f t="shared" si="12"/>
        <v>39527417.318841338</v>
      </c>
      <c r="S33" s="85">
        <f t="shared" si="12"/>
        <v>40210607.247808971</v>
      </c>
      <c r="T33" s="85">
        <f t="shared" si="12"/>
        <v>40893797.176776595</v>
      </c>
      <c r="U33" s="85">
        <f t="shared" si="12"/>
        <v>41576987.10574422</v>
      </c>
      <c r="V33" s="85">
        <f t="shared" si="12"/>
        <v>42260177.034711845</v>
      </c>
      <c r="W33" s="85">
        <f t="shared" si="12"/>
        <v>42943366.963679478</v>
      </c>
      <c r="X33" s="85">
        <f t="shared" si="12"/>
        <v>43626556.892647102</v>
      </c>
      <c r="Y33" s="85">
        <f t="shared" si="12"/>
        <v>44309746.821614727</v>
      </c>
      <c r="Z33" s="85">
        <f t="shared" si="12"/>
        <v>44992936.750582352</v>
      </c>
      <c r="AA33" s="85">
        <f t="shared" si="12"/>
        <v>45676126.679549985</v>
      </c>
      <c r="AB33" s="85">
        <f t="shared" si="12"/>
        <v>46359316.60851761</v>
      </c>
      <c r="AC33" s="85">
        <f t="shared" si="12"/>
        <v>47042506.537485234</v>
      </c>
      <c r="AD33" s="85">
        <f t="shared" si="12"/>
        <v>47725696.466452859</v>
      </c>
      <c r="AE33" s="85">
        <f t="shared" si="12"/>
        <v>48408886.395420492</v>
      </c>
      <c r="AF33" s="85">
        <f t="shared" si="12"/>
        <v>49092076.324388117</v>
      </c>
      <c r="AG33" s="85">
        <f t="shared" si="12"/>
        <v>49775266.253355742</v>
      </c>
      <c r="AH33" s="85">
        <f t="shared" si="12"/>
        <v>50458456.182323366</v>
      </c>
      <c r="AI33" s="85">
        <f t="shared" si="12"/>
        <v>51141646.111290999</v>
      </c>
      <c r="AJ33" s="85">
        <f t="shared" si="12"/>
        <v>51824836.040258624</v>
      </c>
      <c r="AK33" s="85">
        <f t="shared" si="12"/>
        <v>52508025.969226249</v>
      </c>
      <c r="AL33" s="85">
        <f t="shared" si="12"/>
        <v>53191215.898193873</v>
      </c>
      <c r="AM33" s="85">
        <f t="shared" si="12"/>
        <v>53874405.827161506</v>
      </c>
      <c r="AN33" s="85">
        <f t="shared" si="12"/>
        <v>54557595.756129131</v>
      </c>
      <c r="AO33" s="85">
        <f t="shared" si="12"/>
        <v>55240785.685096756</v>
      </c>
      <c r="AP33" s="85">
        <f t="shared" si="12"/>
        <v>55923975.614064381</v>
      </c>
      <c r="AQ33" s="85">
        <f t="shared" si="12"/>
        <v>56607165.543032013</v>
      </c>
      <c r="AR33" s="85">
        <f t="shared" si="12"/>
        <v>57290355.471999638</v>
      </c>
      <c r="AS33" s="85">
        <f t="shared" si="12"/>
        <v>57973545.400967263</v>
      </c>
      <c r="AT33" s="85">
        <f t="shared" si="12"/>
        <v>58656735.329934888</v>
      </c>
      <c r="AU33" s="85">
        <f t="shared" si="12"/>
        <v>59339925.25890252</v>
      </c>
      <c r="AV33" s="85">
        <f t="shared" si="12"/>
        <v>60023115.187870145</v>
      </c>
      <c r="AW33" s="85">
        <f t="shared" si="12"/>
        <v>60706305.11683777</v>
      </c>
      <c r="AX33" s="85">
        <f t="shared" si="12"/>
        <v>61389495.045805395</v>
      </c>
      <c r="AY33" s="85">
        <f t="shared" si="12"/>
        <v>62072684.974773027</v>
      </c>
      <c r="AZ33" s="85">
        <f t="shared" si="12"/>
        <v>62755874.903740652</v>
      </c>
      <c r="BA33" s="85">
        <f t="shared" si="12"/>
        <v>63439064.832708277</v>
      </c>
      <c r="BB33" s="85">
        <f t="shared" si="12"/>
        <v>64122254.761675902</v>
      </c>
      <c r="BC33" s="85">
        <f t="shared" si="12"/>
        <v>64805444.690643534</v>
      </c>
      <c r="BD33" s="85">
        <f t="shared" si="12"/>
        <v>65488634.619611159</v>
      </c>
      <c r="BE33" s="85">
        <f t="shared" si="12"/>
        <v>66171824.548578784</v>
      </c>
      <c r="BF33" s="85">
        <f t="shared" si="12"/>
        <v>66855014.477546409</v>
      </c>
      <c r="BG33" s="85">
        <f t="shared" si="12"/>
        <v>67538204.406514034</v>
      </c>
      <c r="BH33" s="85">
        <f t="shared" si="12"/>
        <v>68221394.335481659</v>
      </c>
      <c r="BI33" s="85"/>
    </row>
    <row r="34" spans="1:61" x14ac:dyDescent="0.2">
      <c r="B34" s="3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x14ac:dyDescent="0.2">
      <c r="A35" t="s">
        <v>13</v>
      </c>
      <c r="B35" s="31"/>
      <c r="C35" s="122">
        <f t="shared" ref="C35:AL35" si="13" xml:space="preserve"> D36</f>
        <v>0</v>
      </c>
      <c r="D35" s="122">
        <f t="shared" si="13"/>
        <v>1</v>
      </c>
      <c r="E35" s="122">
        <f t="shared" si="13"/>
        <v>1</v>
      </c>
      <c r="F35" s="122">
        <f t="shared" si="13"/>
        <v>1</v>
      </c>
      <c r="G35" s="122">
        <f t="shared" si="13"/>
        <v>1</v>
      </c>
      <c r="H35" s="122">
        <f t="shared" si="13"/>
        <v>1</v>
      </c>
      <c r="I35" s="122">
        <f t="shared" si="13"/>
        <v>1</v>
      </c>
      <c r="J35" s="122">
        <f t="shared" si="13"/>
        <v>1</v>
      </c>
      <c r="K35" s="122">
        <f t="shared" si="13"/>
        <v>1</v>
      </c>
      <c r="L35" s="122">
        <f t="shared" si="13"/>
        <v>0</v>
      </c>
      <c r="M35" s="122">
        <f t="shared" si="13"/>
        <v>0</v>
      </c>
      <c r="N35" s="122">
        <f t="shared" si="13"/>
        <v>0</v>
      </c>
      <c r="O35" s="122">
        <f t="shared" si="13"/>
        <v>0</v>
      </c>
      <c r="P35" s="122">
        <f t="shared" si="13"/>
        <v>0</v>
      </c>
      <c r="Q35" s="122">
        <f t="shared" si="13"/>
        <v>0</v>
      </c>
      <c r="R35" s="122">
        <f t="shared" si="13"/>
        <v>0</v>
      </c>
      <c r="S35" s="122">
        <f t="shared" si="13"/>
        <v>0</v>
      </c>
      <c r="T35" s="122">
        <f t="shared" si="13"/>
        <v>0</v>
      </c>
      <c r="U35" s="122">
        <f t="shared" si="13"/>
        <v>0</v>
      </c>
      <c r="V35" s="122">
        <f t="shared" si="13"/>
        <v>0</v>
      </c>
      <c r="W35" s="122">
        <f t="shared" si="13"/>
        <v>0</v>
      </c>
      <c r="X35" s="122">
        <f t="shared" si="13"/>
        <v>0</v>
      </c>
      <c r="Y35" s="122">
        <f t="shared" si="13"/>
        <v>0</v>
      </c>
      <c r="Z35" s="122">
        <f t="shared" si="13"/>
        <v>0</v>
      </c>
      <c r="AA35" s="122">
        <f t="shared" si="13"/>
        <v>0</v>
      </c>
      <c r="AB35" s="122">
        <f t="shared" si="13"/>
        <v>0</v>
      </c>
      <c r="AC35" s="122">
        <f t="shared" si="13"/>
        <v>0</v>
      </c>
      <c r="AD35" s="122">
        <f t="shared" si="13"/>
        <v>0</v>
      </c>
      <c r="AE35" s="122">
        <f t="shared" si="13"/>
        <v>0</v>
      </c>
      <c r="AF35" s="122">
        <f t="shared" si="13"/>
        <v>0</v>
      </c>
      <c r="AG35" s="122">
        <f t="shared" si="13"/>
        <v>0</v>
      </c>
      <c r="AH35" s="122">
        <f t="shared" si="13"/>
        <v>0</v>
      </c>
      <c r="AI35" s="122">
        <f t="shared" si="13"/>
        <v>0</v>
      </c>
      <c r="AJ35" s="122">
        <f t="shared" si="13"/>
        <v>0</v>
      </c>
      <c r="AK35" s="122">
        <f t="shared" si="13"/>
        <v>0</v>
      </c>
      <c r="AL35" s="122">
        <f t="shared" si="13"/>
        <v>0</v>
      </c>
      <c r="AM35" s="122">
        <f t="shared" ref="AM35:BH35" si="14" xml:space="preserve"> BI36</f>
        <v>0</v>
      </c>
      <c r="AN35" s="122">
        <f t="shared" si="14"/>
        <v>0</v>
      </c>
      <c r="AO35" s="122">
        <f t="shared" si="14"/>
        <v>0</v>
      </c>
      <c r="AP35" s="122">
        <f t="shared" si="14"/>
        <v>0</v>
      </c>
      <c r="AQ35" s="122">
        <f t="shared" si="14"/>
        <v>0</v>
      </c>
      <c r="AR35" s="122">
        <f t="shared" si="14"/>
        <v>0</v>
      </c>
      <c r="AS35" s="122">
        <f t="shared" si="14"/>
        <v>0</v>
      </c>
      <c r="AT35" s="122">
        <f t="shared" si="14"/>
        <v>0</v>
      </c>
      <c r="AU35" s="122">
        <f t="shared" si="14"/>
        <v>0</v>
      </c>
      <c r="AV35" s="122">
        <f t="shared" si="14"/>
        <v>0</v>
      </c>
      <c r="AW35" s="122">
        <f t="shared" si="14"/>
        <v>0</v>
      </c>
      <c r="AX35" s="122">
        <f t="shared" si="14"/>
        <v>0</v>
      </c>
      <c r="AY35" s="122">
        <f t="shared" si="14"/>
        <v>0</v>
      </c>
      <c r="AZ35" s="122">
        <f t="shared" si="14"/>
        <v>0</v>
      </c>
      <c r="BA35" s="122">
        <f t="shared" si="14"/>
        <v>0</v>
      </c>
      <c r="BB35" s="122">
        <f t="shared" si="14"/>
        <v>0</v>
      </c>
      <c r="BC35" s="122">
        <f t="shared" si="14"/>
        <v>0</v>
      </c>
      <c r="BD35" s="122">
        <f t="shared" si="14"/>
        <v>0</v>
      </c>
      <c r="BE35" s="122">
        <f t="shared" si="14"/>
        <v>0</v>
      </c>
      <c r="BF35" s="122">
        <f t="shared" si="14"/>
        <v>0</v>
      </c>
      <c r="BG35" s="122">
        <f t="shared" si="14"/>
        <v>0</v>
      </c>
      <c r="BH35" s="122">
        <f t="shared" si="14"/>
        <v>0</v>
      </c>
    </row>
    <row r="36" spans="1:61" x14ac:dyDescent="0.2">
      <c r="A36" t="s">
        <v>14</v>
      </c>
      <c r="B36" s="31"/>
      <c r="C36" s="122">
        <f t="shared" ref="C36:AL36" si="15" xml:space="preserve"> D37-C37</f>
        <v>0</v>
      </c>
      <c r="D36" s="122">
        <f t="shared" si="15"/>
        <v>0</v>
      </c>
      <c r="E36" s="122">
        <f t="shared" si="15"/>
        <v>1</v>
      </c>
      <c r="F36" s="122">
        <f t="shared" si="15"/>
        <v>1</v>
      </c>
      <c r="G36" s="122">
        <f t="shared" si="15"/>
        <v>1</v>
      </c>
      <c r="H36" s="122">
        <f t="shared" si="15"/>
        <v>1</v>
      </c>
      <c r="I36" s="122">
        <f t="shared" si="15"/>
        <v>1</v>
      </c>
      <c r="J36" s="122">
        <f t="shared" si="15"/>
        <v>1</v>
      </c>
      <c r="K36" s="122">
        <f t="shared" si="15"/>
        <v>1</v>
      </c>
      <c r="L36" s="122">
        <f t="shared" si="15"/>
        <v>1</v>
      </c>
      <c r="M36" s="122">
        <f t="shared" si="15"/>
        <v>0</v>
      </c>
      <c r="N36" s="122">
        <f t="shared" si="15"/>
        <v>0</v>
      </c>
      <c r="O36" s="122">
        <f t="shared" si="15"/>
        <v>0</v>
      </c>
      <c r="P36" s="122">
        <f t="shared" si="15"/>
        <v>0</v>
      </c>
      <c r="Q36" s="122">
        <f t="shared" si="15"/>
        <v>0</v>
      </c>
      <c r="R36" s="122">
        <f t="shared" si="15"/>
        <v>0</v>
      </c>
      <c r="S36" s="122">
        <f t="shared" si="15"/>
        <v>0</v>
      </c>
      <c r="T36" s="122">
        <f t="shared" si="15"/>
        <v>0</v>
      </c>
      <c r="U36" s="122">
        <f t="shared" si="15"/>
        <v>0</v>
      </c>
      <c r="V36" s="122">
        <f t="shared" si="15"/>
        <v>0</v>
      </c>
      <c r="W36" s="122">
        <f t="shared" si="15"/>
        <v>0</v>
      </c>
      <c r="X36" s="122">
        <f t="shared" si="15"/>
        <v>0</v>
      </c>
      <c r="Y36" s="122">
        <f t="shared" si="15"/>
        <v>0</v>
      </c>
      <c r="Z36" s="122">
        <f t="shared" si="15"/>
        <v>0</v>
      </c>
      <c r="AA36" s="122">
        <f t="shared" si="15"/>
        <v>0</v>
      </c>
      <c r="AB36" s="122">
        <f t="shared" si="15"/>
        <v>0</v>
      </c>
      <c r="AC36" s="122">
        <f t="shared" si="15"/>
        <v>0</v>
      </c>
      <c r="AD36" s="122">
        <f t="shared" si="15"/>
        <v>0</v>
      </c>
      <c r="AE36" s="122">
        <f t="shared" si="15"/>
        <v>0</v>
      </c>
      <c r="AF36" s="122">
        <f t="shared" si="15"/>
        <v>0</v>
      </c>
      <c r="AG36" s="122">
        <f t="shared" si="15"/>
        <v>0</v>
      </c>
      <c r="AH36" s="122">
        <f t="shared" si="15"/>
        <v>0</v>
      </c>
      <c r="AI36" s="122">
        <f t="shared" si="15"/>
        <v>0</v>
      </c>
      <c r="AJ36" s="122">
        <f t="shared" si="15"/>
        <v>0</v>
      </c>
      <c r="AK36" s="122">
        <f t="shared" si="15"/>
        <v>0</v>
      </c>
      <c r="AL36" s="122">
        <f t="shared" si="15"/>
        <v>0</v>
      </c>
      <c r="AM36" s="122">
        <v>0</v>
      </c>
      <c r="AN36" s="122">
        <v>0</v>
      </c>
      <c r="AO36" s="122">
        <v>0</v>
      </c>
      <c r="AP36" s="122">
        <v>0</v>
      </c>
      <c r="AQ36" s="122">
        <v>0</v>
      </c>
      <c r="AR36" s="122">
        <v>0</v>
      </c>
      <c r="AS36" s="122">
        <v>0</v>
      </c>
      <c r="AT36" s="122">
        <v>0</v>
      </c>
      <c r="AU36" s="122">
        <v>0</v>
      </c>
      <c r="AV36" s="122">
        <v>0</v>
      </c>
      <c r="AW36" s="122">
        <v>0</v>
      </c>
      <c r="AX36" s="122">
        <v>0</v>
      </c>
      <c r="AY36" s="122">
        <v>0</v>
      </c>
      <c r="AZ36" s="122">
        <v>0</v>
      </c>
      <c r="BA36" s="122">
        <v>0</v>
      </c>
      <c r="BB36" s="122">
        <v>0</v>
      </c>
      <c r="BC36" s="122">
        <v>0</v>
      </c>
      <c r="BD36" s="122">
        <v>0</v>
      </c>
      <c r="BE36" s="122">
        <v>0</v>
      </c>
      <c r="BF36" s="122">
        <v>0</v>
      </c>
      <c r="BG36" s="122">
        <v>0</v>
      </c>
      <c r="BH36" s="122">
        <v>0</v>
      </c>
    </row>
    <row r="37" spans="1:61" x14ac:dyDescent="0.2">
      <c r="A37" t="s">
        <v>15</v>
      </c>
      <c r="B37" s="31"/>
      <c r="C37">
        <v>0</v>
      </c>
      <c r="D37">
        <v>0</v>
      </c>
      <c r="E37">
        <v>0</v>
      </c>
      <c r="F37">
        <v>1</v>
      </c>
      <c r="G37">
        <v>2</v>
      </c>
      <c r="H37">
        <v>3</v>
      </c>
      <c r="I37">
        <v>4</v>
      </c>
      <c r="J37">
        <v>5</v>
      </c>
      <c r="K37">
        <v>6</v>
      </c>
      <c r="L37">
        <v>7</v>
      </c>
      <c r="M37">
        <v>8</v>
      </c>
      <c r="N37">
        <v>8</v>
      </c>
      <c r="O37">
        <v>8</v>
      </c>
      <c r="P37">
        <v>8</v>
      </c>
      <c r="Q37">
        <v>8</v>
      </c>
      <c r="R37">
        <v>8</v>
      </c>
      <c r="S37">
        <v>8</v>
      </c>
      <c r="T37">
        <v>8</v>
      </c>
      <c r="U37">
        <v>8</v>
      </c>
      <c r="V37">
        <v>8</v>
      </c>
      <c r="W37">
        <v>8</v>
      </c>
      <c r="X37">
        <v>8</v>
      </c>
      <c r="Y37">
        <v>8</v>
      </c>
      <c r="Z37">
        <v>8</v>
      </c>
      <c r="AA37">
        <v>8</v>
      </c>
      <c r="AB37">
        <v>8</v>
      </c>
      <c r="AC37">
        <v>8</v>
      </c>
      <c r="AD37">
        <v>8</v>
      </c>
      <c r="AE37">
        <v>8</v>
      </c>
      <c r="AF37">
        <v>8</v>
      </c>
      <c r="AG37">
        <v>8</v>
      </c>
      <c r="AH37">
        <v>8</v>
      </c>
      <c r="AI37">
        <v>8</v>
      </c>
      <c r="AJ37">
        <v>8</v>
      </c>
      <c r="AK37">
        <v>8</v>
      </c>
      <c r="AL37">
        <v>8</v>
      </c>
      <c r="AM37">
        <v>8</v>
      </c>
      <c r="AN37">
        <v>8</v>
      </c>
      <c r="AO37">
        <v>8</v>
      </c>
      <c r="AP37">
        <v>8</v>
      </c>
      <c r="AQ37">
        <v>8</v>
      </c>
      <c r="AR37">
        <v>8</v>
      </c>
      <c r="AS37">
        <v>8</v>
      </c>
      <c r="AT37">
        <v>8</v>
      </c>
      <c r="AU37">
        <v>8</v>
      </c>
      <c r="AV37">
        <v>8</v>
      </c>
      <c r="AW37">
        <v>8</v>
      </c>
      <c r="AX37">
        <v>8</v>
      </c>
      <c r="AY37">
        <v>8</v>
      </c>
      <c r="AZ37">
        <v>8</v>
      </c>
      <c r="BA37">
        <v>8</v>
      </c>
      <c r="BB37">
        <v>8</v>
      </c>
      <c r="BC37">
        <v>8</v>
      </c>
      <c r="BD37">
        <v>8</v>
      </c>
      <c r="BE37">
        <v>8</v>
      </c>
      <c r="BF37">
        <v>8</v>
      </c>
      <c r="BG37">
        <v>8</v>
      </c>
      <c r="BH37">
        <v>8</v>
      </c>
    </row>
    <row r="38" spans="1:61" x14ac:dyDescent="0.2">
      <c r="A38" t="s">
        <v>16</v>
      </c>
      <c r="B38" s="31"/>
      <c r="C38" s="5">
        <f>C37*'Levellized Salt Refinery Plant '!$C$53</f>
        <v>0</v>
      </c>
      <c r="D38" s="5">
        <f>D37*'Levellized Salt Refinery Plant '!$C$53</f>
        <v>0</v>
      </c>
      <c r="E38" s="5">
        <f>E37*'Levellized Salt Refinery Plant '!$C$53</f>
        <v>0</v>
      </c>
      <c r="F38" s="5">
        <f>F37*'Levellized Salt Refinery Plant '!$C$53</f>
        <v>86687.5</v>
      </c>
      <c r="G38" s="5">
        <f>G37*'Levellized Salt Refinery Plant '!$C$53</f>
        <v>173375</v>
      </c>
      <c r="H38" s="5">
        <f>H37*'Levellized Salt Refinery Plant '!$C$53</f>
        <v>260062.5</v>
      </c>
      <c r="I38" s="5">
        <f>I37*'Levellized Salt Refinery Plant '!$C$53</f>
        <v>346750</v>
      </c>
      <c r="J38" s="5">
        <f>J37*'Levellized Salt Refinery Plant '!$C$53</f>
        <v>433437.5</v>
      </c>
      <c r="K38" s="5">
        <f>K37*'Levellized Salt Refinery Plant '!$C$53</f>
        <v>520125</v>
      </c>
      <c r="L38" s="5">
        <f>L37*'Levellized Salt Refinery Plant '!$C$53</f>
        <v>606812.5</v>
      </c>
      <c r="M38" s="5">
        <f>M37*'Levellized Salt Refinery Plant '!$C$53</f>
        <v>693500</v>
      </c>
      <c r="N38" s="5">
        <f>N37*'Levellized Salt Refinery Plant '!$C$53</f>
        <v>693500</v>
      </c>
      <c r="O38" s="5">
        <f>O37*'Levellized Salt Refinery Plant '!$C$53</f>
        <v>693500</v>
      </c>
      <c r="P38" s="5">
        <f>P37*'Levellized Salt Refinery Plant '!$C$53</f>
        <v>693500</v>
      </c>
      <c r="Q38" s="5">
        <f>Q37*'Levellized Salt Refinery Plant '!$C$53</f>
        <v>693500</v>
      </c>
      <c r="R38" s="5">
        <f>R37*'Levellized Salt Refinery Plant '!$C$53</f>
        <v>693500</v>
      </c>
      <c r="S38" s="5">
        <f>S37*'Levellized Salt Refinery Plant '!$C$53</f>
        <v>693500</v>
      </c>
      <c r="T38" s="5">
        <f>T37*'Levellized Salt Refinery Plant '!$C$53</f>
        <v>693500</v>
      </c>
      <c r="U38" s="5">
        <f>U37*'Levellized Salt Refinery Plant '!$C$53</f>
        <v>693500</v>
      </c>
      <c r="V38" s="5">
        <f>V37*'Levellized Salt Refinery Plant '!$C$53</f>
        <v>693500</v>
      </c>
      <c r="W38" s="5">
        <f>W37*'Levellized Salt Refinery Plant '!$C$53</f>
        <v>693500</v>
      </c>
      <c r="X38" s="5">
        <f>X37*'Levellized Salt Refinery Plant '!$C$53</f>
        <v>693500</v>
      </c>
      <c r="Y38" s="5">
        <f>Y37*'Levellized Salt Refinery Plant '!$C$53</f>
        <v>693500</v>
      </c>
      <c r="Z38" s="5">
        <f>Z37*'Levellized Salt Refinery Plant '!$C$53</f>
        <v>693500</v>
      </c>
      <c r="AA38" s="5">
        <f>AA37*'Levellized Salt Refinery Plant '!$C$53</f>
        <v>693500</v>
      </c>
      <c r="AB38" s="5">
        <f>AB37*'Levellized Salt Refinery Plant '!$C$53</f>
        <v>693500</v>
      </c>
      <c r="AC38" s="5">
        <f>AC37*'Levellized Salt Refinery Plant '!$C$53</f>
        <v>693500</v>
      </c>
      <c r="AD38" s="5">
        <f>AD37*'Levellized Salt Refinery Plant '!$C$53</f>
        <v>693500</v>
      </c>
      <c r="AE38" s="5">
        <f>AE37*'Levellized Salt Refinery Plant '!$C$53</f>
        <v>693500</v>
      </c>
      <c r="AF38" s="5">
        <f>AF37*'Levellized Salt Refinery Plant '!$C$53</f>
        <v>693500</v>
      </c>
      <c r="AG38" s="5">
        <f>AG37*'Levellized Salt Refinery Plant '!$C$53</f>
        <v>693500</v>
      </c>
      <c r="AH38" s="5">
        <f>AH37*'Levellized Salt Refinery Plant '!$C$53</f>
        <v>693500</v>
      </c>
      <c r="AI38" s="5">
        <f>AI37*'Levellized Salt Refinery Plant '!$C$53</f>
        <v>693500</v>
      </c>
      <c r="AJ38" s="5">
        <f>AJ37*'Levellized Salt Refinery Plant '!$C$53</f>
        <v>693500</v>
      </c>
      <c r="AK38" s="5">
        <f>AK37*'Levellized Salt Refinery Plant '!$C$53</f>
        <v>693500</v>
      </c>
      <c r="AL38" s="5">
        <f>AL37*'Levellized Salt Refinery Plant '!$C$53</f>
        <v>693500</v>
      </c>
      <c r="AM38" s="5">
        <f>AM37*'Levellized Salt Refinery Plant '!$C$53</f>
        <v>693500</v>
      </c>
      <c r="AN38" s="5">
        <f>AN37*'Levellized Salt Refinery Plant '!$C$53</f>
        <v>693500</v>
      </c>
      <c r="AO38" s="5">
        <f>AO37*'Levellized Salt Refinery Plant '!$C$53</f>
        <v>693500</v>
      </c>
      <c r="AP38" s="5">
        <f>AP37*'Levellized Salt Refinery Plant '!$C$53</f>
        <v>693500</v>
      </c>
      <c r="AQ38" s="5">
        <f>AQ37*'Levellized Salt Refinery Plant '!$C$53</f>
        <v>693500</v>
      </c>
      <c r="AR38" s="5">
        <f>AR37*'Levellized Salt Refinery Plant '!$C$53</f>
        <v>693500</v>
      </c>
      <c r="AS38" s="5">
        <f>AS37*'Levellized Salt Refinery Plant '!$C$53</f>
        <v>693500</v>
      </c>
      <c r="AT38" s="5">
        <f>AT37*'Levellized Salt Refinery Plant '!$C$53</f>
        <v>693500</v>
      </c>
      <c r="AU38" s="5">
        <f>AU37*'Levellized Salt Refinery Plant '!$C$53</f>
        <v>693500</v>
      </c>
      <c r="AV38" s="5">
        <f>AV37*'Levellized Salt Refinery Plant '!$C$53</f>
        <v>693500</v>
      </c>
      <c r="AW38" s="5">
        <f>AW37*'Levellized Salt Refinery Plant '!$C$53</f>
        <v>693500</v>
      </c>
      <c r="AX38" s="5">
        <f>AX37*'Levellized Salt Refinery Plant '!$C$53</f>
        <v>693500</v>
      </c>
      <c r="AY38" s="5">
        <f>AY37*'Levellized Salt Refinery Plant '!$C$53</f>
        <v>693500</v>
      </c>
      <c r="AZ38" s="5">
        <f>AZ37*'Levellized Salt Refinery Plant '!$C$53</f>
        <v>693500</v>
      </c>
      <c r="BA38" s="5">
        <f>BA37*'Levellized Salt Refinery Plant '!$C$53</f>
        <v>693500</v>
      </c>
      <c r="BB38" s="5">
        <f>BB37*'Levellized Salt Refinery Plant '!$C$53</f>
        <v>693500</v>
      </c>
      <c r="BC38" s="5">
        <f>BC37*'Levellized Salt Refinery Plant '!$C$53</f>
        <v>693500</v>
      </c>
      <c r="BD38" s="5">
        <f>BD37*'Levellized Salt Refinery Plant '!$C$53</f>
        <v>693500</v>
      </c>
      <c r="BE38" s="5">
        <f>BE37*'Levellized Salt Refinery Plant '!$C$53</f>
        <v>693500</v>
      </c>
      <c r="BF38" s="5">
        <f>BF37*'Levellized Salt Refinery Plant '!$C$53</f>
        <v>693500</v>
      </c>
      <c r="BG38" s="5">
        <f>BG37*'Levellized Salt Refinery Plant '!$C$53</f>
        <v>693500</v>
      </c>
      <c r="BH38" s="5">
        <f>BH37*'Levellized Salt Refinery Plant '!$C$53</f>
        <v>693500</v>
      </c>
      <c r="BI38" s="5"/>
    </row>
    <row r="39" spans="1:61" s="82" customFormat="1" hidden="1" x14ac:dyDescent="0.2">
      <c r="A39" s="82" t="s">
        <v>17</v>
      </c>
      <c r="B39" s="156"/>
      <c r="C39" s="83">
        <f>IF(C36&gt;0,C36*'Levellized Salt Refinery Plant '!$C$2,0)</f>
        <v>0</v>
      </c>
      <c r="D39" s="83">
        <f>IF(D36&gt;0,D36*'Levellized Salt Refinery Plant '!$C$2,0)</f>
        <v>0</v>
      </c>
      <c r="E39" s="83">
        <f>IF(E36&gt;0,E36*'Levellized Salt Refinery Plant '!$C$2,0)</f>
        <v>2185910</v>
      </c>
      <c r="F39" s="83">
        <f>IF(F36&gt;0,F36*'Levellized Salt Refinery Plant '!$C$2,0)</f>
        <v>2185910</v>
      </c>
      <c r="G39" s="83">
        <f>IF(G36&gt;0,G36*'Levellized Salt Refinery Plant '!$C$2,0)</f>
        <v>2185910</v>
      </c>
      <c r="H39" s="83">
        <f>IF(H36&gt;0,H36*'Levellized Salt Refinery Plant '!$C$2,0)</f>
        <v>2185910</v>
      </c>
      <c r="I39" s="83">
        <f>IF(I36&gt;0,I36*'Levellized Salt Refinery Plant '!$C$2,0)</f>
        <v>2185910</v>
      </c>
      <c r="J39" s="83">
        <f>IF(J36&gt;0,J36*'Levellized Salt Refinery Plant '!$C$2,0)</f>
        <v>2185910</v>
      </c>
      <c r="K39" s="83">
        <f>IF(K36&gt;0,K36*'Levellized Salt Refinery Plant '!$C$2,0)</f>
        <v>2185910</v>
      </c>
      <c r="L39" s="83">
        <f>IF(L36&gt;0,L36*'Levellized Salt Refinery Plant '!$C$2,0)</f>
        <v>2185910</v>
      </c>
      <c r="M39" s="83">
        <f>IF(M36&gt;0,M36*'Levellized Salt Refinery Plant '!$C$2,0)</f>
        <v>0</v>
      </c>
      <c r="N39" s="83">
        <f>IF(N36&gt;0,N36*'Levellized Salt Refinery Plant '!$C$2,0)</f>
        <v>0</v>
      </c>
      <c r="O39" s="83">
        <f>IF(O36&gt;0,O36*'Levellized Salt Refinery Plant '!$C$2,0)</f>
        <v>0</v>
      </c>
      <c r="P39" s="83">
        <f>IF(P36&gt;0,P36*'Levellized Salt Refinery Plant '!$C$2,0)</f>
        <v>0</v>
      </c>
      <c r="Q39" s="83">
        <f>IF(Q36&gt;0,Q36*'Levellized Salt Refinery Plant '!$C$2,0)</f>
        <v>0</v>
      </c>
      <c r="R39" s="83">
        <f>IF(R36&gt;0,R36*'Levellized Salt Refinery Plant '!$C$2,0)</f>
        <v>0</v>
      </c>
      <c r="S39" s="83">
        <f>IF(S36&gt;0,S36*'Levellized Salt Refinery Plant '!$C$2,0)</f>
        <v>0</v>
      </c>
      <c r="T39" s="83">
        <f>IF(T36&gt;0,T36*'Levellized Salt Refinery Plant '!$C$2,0)</f>
        <v>0</v>
      </c>
      <c r="U39" s="83">
        <f>IF(U36&gt;0,U36*'Levellized Salt Refinery Plant '!$C$2,0)</f>
        <v>0</v>
      </c>
      <c r="V39" s="83">
        <f>IF(V36&gt;0,V36*'Levellized Salt Refinery Plant '!$C$2,0)</f>
        <v>0</v>
      </c>
      <c r="W39" s="83">
        <f>IF(W36&gt;0,W36*'Levellized Salt Refinery Plant '!$C$2,0)</f>
        <v>0</v>
      </c>
      <c r="X39" s="83">
        <f>IF(X36&gt;0,X36*'Levellized Salt Refinery Plant '!$C$2,0)</f>
        <v>0</v>
      </c>
      <c r="Y39" s="83">
        <f>IF(Y36&gt;0,Y36*'Levellized Salt Refinery Plant '!$C$2,0)</f>
        <v>0</v>
      </c>
      <c r="Z39" s="83">
        <f>IF(Z36&gt;0,Z36*'Levellized Salt Refinery Plant '!$C$2,0)</f>
        <v>0</v>
      </c>
      <c r="AA39" s="83">
        <f>IF(AA36&gt;0,AA36*'Levellized Salt Refinery Plant '!$C$2,0)</f>
        <v>0</v>
      </c>
      <c r="AB39" s="83">
        <f>IF(AB36&gt;0,AB36*'Levellized Salt Refinery Plant '!$C$2,0)</f>
        <v>0</v>
      </c>
      <c r="AC39" s="83">
        <f>IF(AC36&gt;0,AC36*'Levellized Salt Refinery Plant '!$C$2,0)</f>
        <v>0</v>
      </c>
      <c r="AD39" s="83">
        <f>IF(AD36&gt;0,AD36*'Levellized Salt Refinery Plant '!$C$2,0)</f>
        <v>0</v>
      </c>
      <c r="AE39" s="83">
        <f>IF(AE36&gt;0,AE36*'Levellized Salt Refinery Plant '!$C$2,0)</f>
        <v>0</v>
      </c>
      <c r="AF39" s="83">
        <f>IF(AF36&gt;0,AF36*'Levellized Salt Refinery Plant '!$C$2,0)</f>
        <v>0</v>
      </c>
      <c r="AG39" s="83">
        <f>IF(AG36&gt;0,AG36*'Levellized Salt Refinery Plant '!$C$2,0)</f>
        <v>0</v>
      </c>
      <c r="AH39" s="83">
        <f>IF(AH36&gt;0,AH36*'Levellized Salt Refinery Plant '!$C$2,0)</f>
        <v>0</v>
      </c>
      <c r="AI39" s="83">
        <f>IF(AI36&gt;0,AI36*'Levellized Salt Refinery Plant '!$C$2,0)</f>
        <v>0</v>
      </c>
      <c r="AJ39" s="83">
        <f>IF(AJ36&gt;0,AJ36*'Levellized Salt Refinery Plant '!$C$2,0)</f>
        <v>0</v>
      </c>
      <c r="AK39" s="83">
        <f>IF(AK36&gt;0,AK36*'Levellized Salt Refinery Plant '!$C$2,0)</f>
        <v>0</v>
      </c>
      <c r="AL39" s="83">
        <f>IF(AL36&gt;0,AL36*'Levellized Salt Refinery Plant '!$C$2,0)</f>
        <v>0</v>
      </c>
      <c r="AM39" s="83">
        <f>IF(AM36&gt;0,AM36*'Levellized Salt Refinery Plant '!$C$2,0)</f>
        <v>0</v>
      </c>
      <c r="AN39" s="83">
        <f>IF(AN36&gt;0,AN36*'Levellized Salt Refinery Plant '!$C$2,0)</f>
        <v>0</v>
      </c>
      <c r="AO39" s="83">
        <f>IF(AO36&gt;0,AO36*'Levellized Salt Refinery Plant '!$C$2,0)</f>
        <v>0</v>
      </c>
      <c r="AP39" s="83">
        <f>IF(AP36&gt;0,AP36*'Levellized Salt Refinery Plant '!$C$2,0)</f>
        <v>0</v>
      </c>
      <c r="AQ39" s="83">
        <f>IF(AQ36&gt;0,AQ36*'Levellized Salt Refinery Plant '!$C$2,0)</f>
        <v>0</v>
      </c>
      <c r="AR39" s="83">
        <f>IF(AR36&gt;0,AR36*'Levellized Salt Refinery Plant '!$C$2,0)</f>
        <v>0</v>
      </c>
      <c r="AS39" s="83">
        <f>IF(AS36&gt;0,AS36*'Levellized Salt Refinery Plant '!$C$2,0)</f>
        <v>0</v>
      </c>
      <c r="AT39" s="83">
        <f>IF(AT36&gt;0,AT36*'Levellized Salt Refinery Plant '!$C$2,0)</f>
        <v>0</v>
      </c>
      <c r="AU39" s="83">
        <f>IF(AU36&gt;0,AU36*'Levellized Salt Refinery Plant '!$C$2,0)</f>
        <v>0</v>
      </c>
      <c r="AV39" s="83">
        <f>IF(AV36&gt;0,AV36*'Levellized Salt Refinery Plant '!$C$2,0)</f>
        <v>0</v>
      </c>
      <c r="AW39" s="83">
        <f>IF(AW36&gt;0,AW36*'Levellized Salt Refinery Plant '!$C$2,0)</f>
        <v>0</v>
      </c>
      <c r="AX39" s="83">
        <f>IF(AX36&gt;0,AX36*'Levellized Salt Refinery Plant '!$C$2,0)</f>
        <v>0</v>
      </c>
      <c r="AY39" s="83">
        <f>IF(AY36&gt;0,AY36*'Levellized Salt Refinery Plant '!$C$2,0)</f>
        <v>0</v>
      </c>
      <c r="AZ39" s="83">
        <f>IF(AZ36&gt;0,AZ36*'Levellized Salt Refinery Plant '!$C$2,0)</f>
        <v>0</v>
      </c>
      <c r="BA39" s="83">
        <f>IF(BA36&gt;0,BA36*'Levellized Salt Refinery Plant '!$C$2,0)</f>
        <v>0</v>
      </c>
      <c r="BB39" s="83">
        <f>IF(BB36&gt;0,BB36*'Levellized Salt Refinery Plant '!$C$2,0)</f>
        <v>0</v>
      </c>
      <c r="BC39" s="83">
        <f>IF(BC36&gt;0,BC36*'Levellized Salt Refinery Plant '!$C$2,0)</f>
        <v>0</v>
      </c>
      <c r="BD39" s="83">
        <f>IF(BD36&gt;0,BD36*'Levellized Salt Refinery Plant '!$C$2,0)</f>
        <v>0</v>
      </c>
      <c r="BE39" s="83">
        <f>IF(BE36&gt;0,BE36*'Levellized Salt Refinery Plant '!$C$2,0)</f>
        <v>0</v>
      </c>
      <c r="BF39" s="83">
        <f>IF(BF36&gt;0,BF36*'Levellized Salt Refinery Plant '!$C$2,0)</f>
        <v>0</v>
      </c>
      <c r="BG39" s="83">
        <f>IF(BG36&gt;0,BG36*'Levellized Salt Refinery Plant '!$C$2,0)</f>
        <v>0</v>
      </c>
      <c r="BH39" s="83">
        <f>IF(BH36&gt;0,BH36*'Levellized Salt Refinery Plant '!$C$2,0)</f>
        <v>0</v>
      </c>
      <c r="BI39" s="83"/>
    </row>
    <row r="40" spans="1:61" s="82" customFormat="1" hidden="1" x14ac:dyDescent="0.2">
      <c r="A40" s="82" t="s">
        <v>18</v>
      </c>
      <c r="B40" s="156"/>
      <c r="C40" s="83">
        <f>C37*'Levellized Salt Refinery Plant '!$C$35</f>
        <v>0</v>
      </c>
      <c r="D40" s="83">
        <f>D37*'Levellized Salt Refinery Plant '!$C$35</f>
        <v>0</v>
      </c>
      <c r="E40" s="83">
        <f>E37*'Levellized Salt Refinery Plant '!$C$35</f>
        <v>0</v>
      </c>
      <c r="F40" s="83">
        <f>F37*'Levellized Salt Refinery Plant '!$C$35</f>
        <v>3604613.0585757503</v>
      </c>
      <c r="G40" s="83">
        <f>G37*'Levellized Salt Refinery Plant '!$C$35</f>
        <v>7209226.1171515007</v>
      </c>
      <c r="H40" s="83">
        <f>H37*'Levellized Salt Refinery Plant '!$C$35</f>
        <v>10813839.175727252</v>
      </c>
      <c r="I40" s="83">
        <f>I37*'Levellized Salt Refinery Plant '!$C$35</f>
        <v>14418452.234303001</v>
      </c>
      <c r="J40" s="83">
        <f>J37*'Levellized Salt Refinery Plant '!$C$35</f>
        <v>18023065.292878751</v>
      </c>
      <c r="K40" s="83">
        <f>K37*'Levellized Salt Refinery Plant '!$C$35</f>
        <v>21627678.351454504</v>
      </c>
      <c r="L40" s="83">
        <f>L37*'Levellized Salt Refinery Plant '!$C$35</f>
        <v>25232291.410030253</v>
      </c>
      <c r="M40" s="83">
        <f>M37*'Levellized Salt Refinery Plant '!$C$35</f>
        <v>28836904.468606003</v>
      </c>
      <c r="N40" s="83">
        <f>N37*'Levellized Salt Refinery Plant '!$C$35</f>
        <v>28836904.468606003</v>
      </c>
      <c r="O40" s="83">
        <f>O37*'Levellized Salt Refinery Plant '!$C$35</f>
        <v>28836904.468606003</v>
      </c>
      <c r="P40" s="83">
        <f>P37*'Levellized Salt Refinery Plant '!$C$35</f>
        <v>28836904.468606003</v>
      </c>
      <c r="Q40" s="83">
        <f>Q37*'Levellized Salt Refinery Plant '!$C$35</f>
        <v>28836904.468606003</v>
      </c>
      <c r="R40" s="83">
        <f>R37*'Levellized Salt Refinery Plant '!$C$35</f>
        <v>28836904.468606003</v>
      </c>
      <c r="S40" s="83">
        <f>S37*'Levellized Salt Refinery Plant '!$C$35</f>
        <v>28836904.468606003</v>
      </c>
      <c r="T40" s="83">
        <f>T37*'Levellized Salt Refinery Plant '!$C$35</f>
        <v>28836904.468606003</v>
      </c>
      <c r="U40" s="83">
        <f>U37*'Levellized Salt Refinery Plant '!$C$35</f>
        <v>28836904.468606003</v>
      </c>
      <c r="V40" s="83">
        <f>V37*'Levellized Salt Refinery Plant '!$C$35</f>
        <v>28836904.468606003</v>
      </c>
      <c r="W40" s="83">
        <f>W37*'Levellized Salt Refinery Plant '!$C$35</f>
        <v>28836904.468606003</v>
      </c>
      <c r="X40" s="83">
        <f>X37*'Levellized Salt Refinery Plant '!$C$35</f>
        <v>28836904.468606003</v>
      </c>
      <c r="Y40" s="83">
        <f>Y37*'Levellized Salt Refinery Plant '!$C$35</f>
        <v>28836904.468606003</v>
      </c>
      <c r="Z40" s="83">
        <f>Z37*'Levellized Salt Refinery Plant '!$C$35</f>
        <v>28836904.468606003</v>
      </c>
      <c r="AA40" s="83">
        <f>AA37*'Levellized Salt Refinery Plant '!$C$35</f>
        <v>28836904.468606003</v>
      </c>
      <c r="AB40" s="83">
        <f>AB37*'Levellized Salt Refinery Plant '!$C$35</f>
        <v>28836904.468606003</v>
      </c>
      <c r="AC40" s="83">
        <f>AC37*'Levellized Salt Refinery Plant '!$C$35</f>
        <v>28836904.468606003</v>
      </c>
      <c r="AD40" s="83">
        <f>AD37*'Levellized Salt Refinery Plant '!$C$35</f>
        <v>28836904.468606003</v>
      </c>
      <c r="AE40" s="83">
        <f>AE37*'Levellized Salt Refinery Plant '!$C$35</f>
        <v>28836904.468606003</v>
      </c>
      <c r="AF40" s="83">
        <f>AF37*'Levellized Salt Refinery Plant '!$C$35</f>
        <v>28836904.468606003</v>
      </c>
      <c r="AG40" s="83">
        <f>AG37*'Levellized Salt Refinery Plant '!$C$35</f>
        <v>28836904.468606003</v>
      </c>
      <c r="AH40" s="83">
        <f>AH37*'Levellized Salt Refinery Plant '!$C$35</f>
        <v>28836904.468606003</v>
      </c>
      <c r="AI40" s="83">
        <f>AI37*'Levellized Salt Refinery Plant '!$C$35</f>
        <v>28836904.468606003</v>
      </c>
      <c r="AJ40" s="83">
        <f>AJ37*'Levellized Salt Refinery Plant '!$C$35</f>
        <v>28836904.468606003</v>
      </c>
      <c r="AK40" s="83">
        <f>AK37*'Levellized Salt Refinery Plant '!$C$35</f>
        <v>28836904.468606003</v>
      </c>
      <c r="AL40" s="83">
        <f>AL37*'Levellized Salt Refinery Plant '!$C$35</f>
        <v>28836904.468606003</v>
      </c>
      <c r="AM40" s="83">
        <f>AM37*'Levellized Salt Refinery Plant '!$C$35</f>
        <v>28836904.468606003</v>
      </c>
      <c r="AN40" s="83">
        <f>AN37*'Levellized Salt Refinery Plant '!$C$35</f>
        <v>28836904.468606003</v>
      </c>
      <c r="AO40" s="83">
        <f>AO37*'Levellized Salt Refinery Plant '!$C$35</f>
        <v>28836904.468606003</v>
      </c>
      <c r="AP40" s="83">
        <f>AP37*'Levellized Salt Refinery Plant '!$C$35</f>
        <v>28836904.468606003</v>
      </c>
      <c r="AQ40" s="83">
        <f>AQ37*'Levellized Salt Refinery Plant '!$C$35</f>
        <v>28836904.468606003</v>
      </c>
      <c r="AR40" s="83">
        <f>AR37*'Levellized Salt Refinery Plant '!$C$35</f>
        <v>28836904.468606003</v>
      </c>
      <c r="AS40" s="83">
        <f>AS37*'Levellized Salt Refinery Plant '!$C$35</f>
        <v>28836904.468606003</v>
      </c>
      <c r="AT40" s="83">
        <f>AT37*'Levellized Salt Refinery Plant '!$C$35</f>
        <v>28836904.468606003</v>
      </c>
      <c r="AU40" s="83">
        <f>AU37*'Levellized Salt Refinery Plant '!$C$35</f>
        <v>28836904.468606003</v>
      </c>
      <c r="AV40" s="83">
        <f>AV37*'Levellized Salt Refinery Plant '!$C$35</f>
        <v>28836904.468606003</v>
      </c>
      <c r="AW40" s="83">
        <f>AW37*'Levellized Salt Refinery Plant '!$C$35</f>
        <v>28836904.468606003</v>
      </c>
      <c r="AX40" s="83">
        <f>AX37*'Levellized Salt Refinery Plant '!$C$35</f>
        <v>28836904.468606003</v>
      </c>
      <c r="AY40" s="83">
        <f>AY37*'Levellized Salt Refinery Plant '!$C$35</f>
        <v>28836904.468606003</v>
      </c>
      <c r="AZ40" s="83">
        <f>AZ37*'Levellized Salt Refinery Plant '!$C$35</f>
        <v>28836904.468606003</v>
      </c>
      <c r="BA40" s="83">
        <f>BA37*'Levellized Salt Refinery Plant '!$C$35</f>
        <v>28836904.468606003</v>
      </c>
      <c r="BB40" s="83">
        <f>BB37*'Levellized Salt Refinery Plant '!$C$35</f>
        <v>28836904.468606003</v>
      </c>
      <c r="BC40" s="83">
        <f>BC37*'Levellized Salt Refinery Plant '!$C$35</f>
        <v>28836904.468606003</v>
      </c>
      <c r="BD40" s="83">
        <f>BD37*'Levellized Salt Refinery Plant '!$C$35</f>
        <v>28836904.468606003</v>
      </c>
      <c r="BE40" s="83">
        <f>BE37*'Levellized Salt Refinery Plant '!$C$35</f>
        <v>28836904.468606003</v>
      </c>
      <c r="BF40" s="83">
        <f>BF37*'Levellized Salt Refinery Plant '!$C$35</f>
        <v>28836904.468606003</v>
      </c>
      <c r="BG40" s="83">
        <f>BG37*'Levellized Salt Refinery Plant '!$C$35</f>
        <v>28836904.468606003</v>
      </c>
      <c r="BH40" s="83">
        <f>BH37*'Levellized Salt Refinery Plant '!$C$35</f>
        <v>28836904.468606003</v>
      </c>
      <c r="BI40" s="83"/>
    </row>
    <row r="41" spans="1:61" s="82" customFormat="1" hidden="1" x14ac:dyDescent="0.2">
      <c r="A41" s="82" t="s">
        <v>731</v>
      </c>
      <c r="B41" s="156"/>
      <c r="C41" s="83">
        <f>C37*'Levellized Salt Refinery Plant '!$C$47</f>
        <v>0</v>
      </c>
      <c r="D41" s="83">
        <f>D37*'Levellized Salt Refinery Plant '!$C$47</f>
        <v>0</v>
      </c>
      <c r="E41" s="83">
        <f>E37*'Levellized Salt Refinery Plant '!$C$47</f>
        <v>0</v>
      </c>
      <c r="F41" s="83">
        <f>F37*'Levellized Salt Refinery Plant '!$C$47</f>
        <v>725428.85857575003</v>
      </c>
      <c r="G41" s="83">
        <f>G37*'Levellized Salt Refinery Plant '!$C$47</f>
        <v>1450857.7171515001</v>
      </c>
      <c r="H41" s="83">
        <f>H37*'Levellized Salt Refinery Plant '!$C$47</f>
        <v>2176286.57572725</v>
      </c>
      <c r="I41" s="83">
        <f>I37*'Levellized Salt Refinery Plant '!$C$47</f>
        <v>2901715.4343030001</v>
      </c>
      <c r="J41" s="83">
        <f>J37*'Levellized Salt Refinery Plant '!$C$47</f>
        <v>3627144.2928787502</v>
      </c>
      <c r="K41" s="83">
        <f>K37*'Levellized Salt Refinery Plant '!$C$47</f>
        <v>4352573.1514544999</v>
      </c>
      <c r="L41" s="83">
        <f>L37*'Levellized Salt Refinery Plant '!$C$47</f>
        <v>5078002.0100302501</v>
      </c>
      <c r="M41" s="83">
        <f>M37*'Levellized Salt Refinery Plant '!$C$47</f>
        <v>5803430.8686060002</v>
      </c>
      <c r="N41" s="83">
        <f>N37*'Levellized Salt Refinery Plant '!$C$47</f>
        <v>5803430.8686060002</v>
      </c>
      <c r="O41" s="83">
        <f>O37*'Levellized Salt Refinery Plant '!$C$47</f>
        <v>5803430.8686060002</v>
      </c>
      <c r="P41" s="83">
        <f>P37*'Levellized Salt Refinery Plant '!$C$47</f>
        <v>5803430.8686060002</v>
      </c>
      <c r="Q41" s="83">
        <f>Q37*'Levellized Salt Refinery Plant '!$C$47</f>
        <v>5803430.8686060002</v>
      </c>
      <c r="R41" s="83">
        <f>R37*'Levellized Salt Refinery Plant '!$C$47</f>
        <v>5803430.8686060002</v>
      </c>
      <c r="S41" s="83">
        <f>S37*'Levellized Salt Refinery Plant '!$C$47</f>
        <v>5803430.8686060002</v>
      </c>
      <c r="T41" s="83">
        <f>T37*'Levellized Salt Refinery Plant '!$C$47</f>
        <v>5803430.8686060002</v>
      </c>
      <c r="U41" s="83">
        <f>U37*'Levellized Salt Refinery Plant '!$C$47</f>
        <v>5803430.8686060002</v>
      </c>
      <c r="V41" s="83">
        <f>V37*'Levellized Salt Refinery Plant '!$C$47</f>
        <v>5803430.8686060002</v>
      </c>
      <c r="W41" s="83">
        <f>W37*'Levellized Salt Refinery Plant '!$C$47</f>
        <v>5803430.8686060002</v>
      </c>
      <c r="X41" s="83">
        <f>X37*'Levellized Salt Refinery Plant '!$C$47</f>
        <v>5803430.8686060002</v>
      </c>
      <c r="Y41" s="83">
        <f>Y37*'Levellized Salt Refinery Plant '!$C$47</f>
        <v>5803430.8686060002</v>
      </c>
      <c r="Z41" s="83">
        <f>Z37*'Levellized Salt Refinery Plant '!$C$47</f>
        <v>5803430.8686060002</v>
      </c>
      <c r="AA41" s="83">
        <f>AA37*'Levellized Salt Refinery Plant '!$C$47</f>
        <v>5803430.8686060002</v>
      </c>
      <c r="AB41" s="83">
        <f>AB37*'Levellized Salt Refinery Plant '!$C$47</f>
        <v>5803430.8686060002</v>
      </c>
      <c r="AC41" s="83">
        <f>AC37*'Levellized Salt Refinery Plant '!$C$47</f>
        <v>5803430.8686060002</v>
      </c>
      <c r="AD41" s="83">
        <f>AD37*'Levellized Salt Refinery Plant '!$C$47</f>
        <v>5803430.8686060002</v>
      </c>
      <c r="AE41" s="83">
        <f>AE37*'Levellized Salt Refinery Plant '!$C$47</f>
        <v>5803430.8686060002</v>
      </c>
      <c r="AF41" s="83">
        <f>AF37*'Levellized Salt Refinery Plant '!$C$47</f>
        <v>5803430.8686060002</v>
      </c>
      <c r="AG41" s="83">
        <f>AG37*'Levellized Salt Refinery Plant '!$C$47</f>
        <v>5803430.8686060002</v>
      </c>
      <c r="AH41" s="83">
        <f>AH37*'Levellized Salt Refinery Plant '!$C$47</f>
        <v>5803430.8686060002</v>
      </c>
      <c r="AI41" s="83">
        <f>AI37*'Levellized Salt Refinery Plant '!$C$47</f>
        <v>5803430.8686060002</v>
      </c>
      <c r="AJ41" s="83">
        <f>AJ37*'Levellized Salt Refinery Plant '!$C$47</f>
        <v>5803430.8686060002</v>
      </c>
      <c r="AK41" s="83">
        <f>AK37*'Levellized Salt Refinery Plant '!$C$47</f>
        <v>5803430.8686060002</v>
      </c>
      <c r="AL41" s="83">
        <f>AL37*'Levellized Salt Refinery Plant '!$C$47</f>
        <v>5803430.8686060002</v>
      </c>
      <c r="AM41" s="83">
        <f>AM37*'Levellized Salt Refinery Plant '!$C$47</f>
        <v>5803430.8686060002</v>
      </c>
      <c r="AN41" s="83">
        <f>AN37*'Levellized Salt Refinery Plant '!$C$47</f>
        <v>5803430.8686060002</v>
      </c>
      <c r="AO41" s="83">
        <f>AO37*'Levellized Salt Refinery Plant '!$C$47</f>
        <v>5803430.8686060002</v>
      </c>
      <c r="AP41" s="83">
        <f>AP37*'Levellized Salt Refinery Plant '!$C$47</f>
        <v>5803430.8686060002</v>
      </c>
      <c r="AQ41" s="83">
        <f>AQ37*'Levellized Salt Refinery Plant '!$C$47</f>
        <v>5803430.8686060002</v>
      </c>
      <c r="AR41" s="83">
        <f>AR37*'Levellized Salt Refinery Plant '!$C$47</f>
        <v>5803430.8686060002</v>
      </c>
      <c r="AS41" s="83">
        <f>AS37*'Levellized Salt Refinery Plant '!$C$47</f>
        <v>5803430.8686060002</v>
      </c>
      <c r="AT41" s="83">
        <f>AT37*'Levellized Salt Refinery Plant '!$C$47</f>
        <v>5803430.8686060002</v>
      </c>
      <c r="AU41" s="83">
        <f>AU37*'Levellized Salt Refinery Plant '!$C$47</f>
        <v>5803430.8686060002</v>
      </c>
      <c r="AV41" s="83">
        <f>AV37*'Levellized Salt Refinery Plant '!$C$47</f>
        <v>5803430.8686060002</v>
      </c>
      <c r="AW41" s="83">
        <f>AW37*'Levellized Salt Refinery Plant '!$C$47</f>
        <v>5803430.8686060002</v>
      </c>
      <c r="AX41" s="83">
        <f>AX37*'Levellized Salt Refinery Plant '!$C$47</f>
        <v>5803430.8686060002</v>
      </c>
      <c r="AY41" s="83">
        <f>AY37*'Levellized Salt Refinery Plant '!$C$47</f>
        <v>5803430.8686060002</v>
      </c>
      <c r="AZ41" s="83">
        <f>AZ37*'Levellized Salt Refinery Plant '!$C$47</f>
        <v>5803430.8686060002</v>
      </c>
      <c r="BA41" s="83">
        <f>BA37*'Levellized Salt Refinery Plant '!$C$47</f>
        <v>5803430.8686060002</v>
      </c>
      <c r="BB41" s="83">
        <f>BB37*'Levellized Salt Refinery Plant '!$C$47</f>
        <v>5803430.8686060002</v>
      </c>
      <c r="BC41" s="83">
        <f>BC37*'Levellized Salt Refinery Plant '!$C$47</f>
        <v>5803430.8686060002</v>
      </c>
      <c r="BD41" s="83">
        <f>BD37*'Levellized Salt Refinery Plant '!$C$47</f>
        <v>5803430.8686060002</v>
      </c>
      <c r="BE41" s="83">
        <f>BE37*'Levellized Salt Refinery Plant '!$C$47</f>
        <v>5803430.8686060002</v>
      </c>
      <c r="BF41" s="83">
        <f>BF37*'Levellized Salt Refinery Plant '!$C$47</f>
        <v>5803430.8686060002</v>
      </c>
      <c r="BG41" s="83">
        <f>BG37*'Levellized Salt Refinery Plant '!$C$47</f>
        <v>5803430.8686060002</v>
      </c>
      <c r="BH41" s="83">
        <f>BH37*'Levellized Salt Refinery Plant '!$C$47</f>
        <v>5803430.8686060002</v>
      </c>
      <c r="BI41" s="83"/>
    </row>
    <row r="42" spans="1:61" hidden="1" x14ac:dyDescent="0.2">
      <c r="A42" t="s">
        <v>791</v>
      </c>
      <c r="B42" s="112">
        <v>3.33</v>
      </c>
      <c r="C42" s="103">
        <v>190</v>
      </c>
      <c r="D42" s="10">
        <f xml:space="preserve"> C42 + $B42</f>
        <v>193.33</v>
      </c>
      <c r="E42" s="10">
        <f t="shared" ref="E42:BH42" si="16" xml:space="preserve"> D42 + $B42</f>
        <v>196.66000000000003</v>
      </c>
      <c r="F42" s="10">
        <f t="shared" si="16"/>
        <v>199.99000000000004</v>
      </c>
      <c r="G42" s="10">
        <f t="shared" si="16"/>
        <v>203.32000000000005</v>
      </c>
      <c r="H42" s="10">
        <f t="shared" si="16"/>
        <v>206.65000000000006</v>
      </c>
      <c r="I42" s="10">
        <f t="shared" si="16"/>
        <v>209.98000000000008</v>
      </c>
      <c r="J42" s="10">
        <f t="shared" si="16"/>
        <v>213.31000000000009</v>
      </c>
      <c r="K42" s="10">
        <f t="shared" si="16"/>
        <v>216.6400000000001</v>
      </c>
      <c r="L42" s="10">
        <f t="shared" si="16"/>
        <v>219.97000000000011</v>
      </c>
      <c r="M42" s="10">
        <f t="shared" si="16"/>
        <v>223.30000000000013</v>
      </c>
      <c r="N42" s="10">
        <f t="shared" si="16"/>
        <v>226.63000000000014</v>
      </c>
      <c r="O42" s="10">
        <f t="shared" si="16"/>
        <v>229.96000000000015</v>
      </c>
      <c r="P42" s="10">
        <f t="shared" si="16"/>
        <v>233.29000000000016</v>
      </c>
      <c r="Q42" s="10">
        <f t="shared" si="16"/>
        <v>236.62000000000018</v>
      </c>
      <c r="R42" s="10">
        <f t="shared" si="16"/>
        <v>239.95000000000019</v>
      </c>
      <c r="S42" s="10">
        <f t="shared" si="16"/>
        <v>243.2800000000002</v>
      </c>
      <c r="T42" s="10">
        <f t="shared" si="16"/>
        <v>246.61000000000021</v>
      </c>
      <c r="U42" s="10">
        <f t="shared" si="16"/>
        <v>249.94000000000023</v>
      </c>
      <c r="V42" s="10">
        <f t="shared" si="16"/>
        <v>253.27000000000024</v>
      </c>
      <c r="W42" s="10">
        <f t="shared" si="16"/>
        <v>256.60000000000025</v>
      </c>
      <c r="X42" s="10">
        <f t="shared" si="16"/>
        <v>259.93000000000023</v>
      </c>
      <c r="Y42" s="10">
        <f t="shared" si="16"/>
        <v>263.26000000000022</v>
      </c>
      <c r="Z42" s="10">
        <f t="shared" si="16"/>
        <v>266.5900000000002</v>
      </c>
      <c r="AA42" s="10">
        <f t="shared" si="16"/>
        <v>269.92000000000019</v>
      </c>
      <c r="AB42" s="10">
        <f t="shared" si="16"/>
        <v>273.25000000000017</v>
      </c>
      <c r="AC42" s="10">
        <f t="shared" si="16"/>
        <v>276.58000000000015</v>
      </c>
      <c r="AD42" s="10">
        <f t="shared" si="16"/>
        <v>279.91000000000014</v>
      </c>
      <c r="AE42" s="10">
        <f t="shared" si="16"/>
        <v>283.24000000000012</v>
      </c>
      <c r="AF42" s="10">
        <f t="shared" si="16"/>
        <v>286.57000000000011</v>
      </c>
      <c r="AG42" s="10">
        <f t="shared" si="16"/>
        <v>289.90000000000009</v>
      </c>
      <c r="AH42" s="10">
        <f t="shared" si="16"/>
        <v>293.23000000000008</v>
      </c>
      <c r="AI42" s="10">
        <f t="shared" si="16"/>
        <v>296.56000000000006</v>
      </c>
      <c r="AJ42" s="10">
        <f t="shared" si="16"/>
        <v>299.89000000000004</v>
      </c>
      <c r="AK42" s="10">
        <f t="shared" si="16"/>
        <v>303.22000000000003</v>
      </c>
      <c r="AL42" s="10">
        <f t="shared" si="16"/>
        <v>306.55</v>
      </c>
      <c r="AM42" s="10">
        <f t="shared" si="16"/>
        <v>309.88</v>
      </c>
      <c r="AN42" s="10">
        <f t="shared" si="16"/>
        <v>313.20999999999998</v>
      </c>
      <c r="AO42" s="10">
        <f t="shared" si="16"/>
        <v>316.53999999999996</v>
      </c>
      <c r="AP42" s="10">
        <f t="shared" si="16"/>
        <v>319.86999999999995</v>
      </c>
      <c r="AQ42" s="10">
        <f t="shared" si="16"/>
        <v>323.19999999999993</v>
      </c>
      <c r="AR42" s="10">
        <f t="shared" si="16"/>
        <v>326.52999999999992</v>
      </c>
      <c r="AS42" s="10">
        <f t="shared" si="16"/>
        <v>329.8599999999999</v>
      </c>
      <c r="AT42" s="10">
        <f t="shared" si="16"/>
        <v>333.18999999999988</v>
      </c>
      <c r="AU42" s="10">
        <f t="shared" si="16"/>
        <v>336.51999999999987</v>
      </c>
      <c r="AV42" s="10">
        <f t="shared" si="16"/>
        <v>339.84999999999985</v>
      </c>
      <c r="AW42" s="10">
        <f t="shared" si="16"/>
        <v>343.17999999999984</v>
      </c>
      <c r="AX42" s="10">
        <f t="shared" si="16"/>
        <v>346.50999999999982</v>
      </c>
      <c r="AY42" s="10">
        <f t="shared" si="16"/>
        <v>349.8399999999998</v>
      </c>
      <c r="AZ42" s="10">
        <f t="shared" si="16"/>
        <v>353.16999999999979</v>
      </c>
      <c r="BA42" s="10">
        <f t="shared" si="16"/>
        <v>356.49999999999977</v>
      </c>
      <c r="BB42" s="10">
        <f t="shared" si="16"/>
        <v>359.82999999999976</v>
      </c>
      <c r="BC42" s="10">
        <f t="shared" si="16"/>
        <v>363.15999999999974</v>
      </c>
      <c r="BD42" s="10">
        <f t="shared" si="16"/>
        <v>366.48999999999972</v>
      </c>
      <c r="BE42" s="10">
        <f t="shared" si="16"/>
        <v>369.81999999999971</v>
      </c>
      <c r="BF42" s="10">
        <f t="shared" si="16"/>
        <v>373.14999999999969</v>
      </c>
      <c r="BG42" s="10">
        <f t="shared" si="16"/>
        <v>376.47999999999968</v>
      </c>
      <c r="BH42" s="10">
        <f t="shared" si="16"/>
        <v>379.80999999999966</v>
      </c>
      <c r="BI42" s="10"/>
    </row>
    <row r="43" spans="1:61" s="84" customFormat="1" hidden="1" x14ac:dyDescent="0.2">
      <c r="A43" s="84" t="s">
        <v>19</v>
      </c>
      <c r="B43" s="158"/>
      <c r="C43" s="85">
        <f t="shared" ref="C43:BH43" si="17">C38*C42</f>
        <v>0</v>
      </c>
      <c r="D43" s="85">
        <f t="shared" si="17"/>
        <v>0</v>
      </c>
      <c r="E43" s="85">
        <f t="shared" si="17"/>
        <v>0</v>
      </c>
      <c r="F43" s="85">
        <f t="shared" si="17"/>
        <v>17336633.125000004</v>
      </c>
      <c r="G43" s="85">
        <f t="shared" si="17"/>
        <v>35250605.000000007</v>
      </c>
      <c r="H43" s="85">
        <f t="shared" si="17"/>
        <v>53741915.625000015</v>
      </c>
      <c r="I43" s="85">
        <f t="shared" si="17"/>
        <v>72810565.00000003</v>
      </c>
      <c r="J43" s="85">
        <f>J38*J42</f>
        <v>92456553.125000045</v>
      </c>
      <c r="K43" s="85">
        <f t="shared" si="17"/>
        <v>112679880.00000004</v>
      </c>
      <c r="L43" s="85">
        <f t="shared" si="17"/>
        <v>133480545.62500007</v>
      </c>
      <c r="M43" s="85">
        <f t="shared" si="17"/>
        <v>154858550.00000009</v>
      </c>
      <c r="N43" s="85">
        <f t="shared" si="17"/>
        <v>157167905.00000009</v>
      </c>
      <c r="O43" s="85">
        <f t="shared" si="17"/>
        <v>159477260.00000009</v>
      </c>
      <c r="P43" s="85">
        <f t="shared" si="17"/>
        <v>161786615.00000012</v>
      </c>
      <c r="Q43" s="85">
        <f t="shared" si="17"/>
        <v>164095970.00000012</v>
      </c>
      <c r="R43" s="85">
        <f t="shared" si="17"/>
        <v>166405325.00000012</v>
      </c>
      <c r="S43" s="85">
        <f t="shared" si="17"/>
        <v>168714680.00000015</v>
      </c>
      <c r="T43" s="85">
        <f t="shared" si="17"/>
        <v>171024035.00000015</v>
      </c>
      <c r="U43" s="85">
        <f t="shared" si="17"/>
        <v>173333390.00000015</v>
      </c>
      <c r="V43" s="85">
        <f t="shared" si="17"/>
        <v>175642745.00000018</v>
      </c>
      <c r="W43" s="85">
        <f t="shared" si="17"/>
        <v>177952100.00000018</v>
      </c>
      <c r="X43" s="85">
        <f t="shared" si="17"/>
        <v>180261455.00000015</v>
      </c>
      <c r="Y43" s="85">
        <f t="shared" si="17"/>
        <v>182570810.00000015</v>
      </c>
      <c r="Z43" s="85">
        <f t="shared" si="17"/>
        <v>184880165.00000015</v>
      </c>
      <c r="AA43" s="85">
        <f t="shared" si="17"/>
        <v>187189520.00000012</v>
      </c>
      <c r="AB43" s="85">
        <f t="shared" si="17"/>
        <v>189498875.00000012</v>
      </c>
      <c r="AC43" s="85">
        <f t="shared" si="17"/>
        <v>191808230.00000012</v>
      </c>
      <c r="AD43" s="85">
        <f t="shared" si="17"/>
        <v>194117585.00000009</v>
      </c>
      <c r="AE43" s="85">
        <f t="shared" si="17"/>
        <v>196426940.00000009</v>
      </c>
      <c r="AF43" s="85">
        <f t="shared" si="17"/>
        <v>198736295.00000006</v>
      </c>
      <c r="AG43" s="85">
        <f t="shared" si="17"/>
        <v>201045650.00000006</v>
      </c>
      <c r="AH43" s="85">
        <f t="shared" si="17"/>
        <v>203355005.00000006</v>
      </c>
      <c r="AI43" s="85">
        <f t="shared" si="17"/>
        <v>205664360.00000003</v>
      </c>
      <c r="AJ43" s="85">
        <f t="shared" si="17"/>
        <v>207973715.00000003</v>
      </c>
      <c r="AK43" s="85">
        <f t="shared" si="17"/>
        <v>210283070.00000003</v>
      </c>
      <c r="AL43" s="85">
        <f t="shared" si="17"/>
        <v>212592425</v>
      </c>
      <c r="AM43" s="85">
        <f t="shared" si="17"/>
        <v>214901780</v>
      </c>
      <c r="AN43" s="85">
        <f t="shared" si="17"/>
        <v>217211135</v>
      </c>
      <c r="AO43" s="85">
        <f t="shared" si="17"/>
        <v>219520489.99999997</v>
      </c>
      <c r="AP43" s="85">
        <f t="shared" si="17"/>
        <v>221829844.99999997</v>
      </c>
      <c r="AQ43" s="85">
        <f t="shared" si="17"/>
        <v>224139199.99999994</v>
      </c>
      <c r="AR43" s="85">
        <f t="shared" si="17"/>
        <v>226448554.99999994</v>
      </c>
      <c r="AS43" s="85">
        <f t="shared" si="17"/>
        <v>228757909.99999994</v>
      </c>
      <c r="AT43" s="85">
        <f t="shared" si="17"/>
        <v>231067264.99999991</v>
      </c>
      <c r="AU43" s="85">
        <f t="shared" si="17"/>
        <v>233376619.99999991</v>
      </c>
      <c r="AV43" s="85">
        <f t="shared" si="17"/>
        <v>235685974.99999991</v>
      </c>
      <c r="AW43" s="85">
        <f t="shared" si="17"/>
        <v>237995329.99999988</v>
      </c>
      <c r="AX43" s="85">
        <f t="shared" si="17"/>
        <v>240304684.99999988</v>
      </c>
      <c r="AY43" s="85">
        <f t="shared" si="17"/>
        <v>242614039.99999985</v>
      </c>
      <c r="AZ43" s="85">
        <f t="shared" si="17"/>
        <v>244923394.99999985</v>
      </c>
      <c r="BA43" s="85">
        <f t="shared" si="17"/>
        <v>247232749.99999985</v>
      </c>
      <c r="BB43" s="85">
        <f t="shared" si="17"/>
        <v>249542104.99999982</v>
      </c>
      <c r="BC43" s="85">
        <f t="shared" si="17"/>
        <v>251851459.99999982</v>
      </c>
      <c r="BD43" s="85">
        <f t="shared" si="17"/>
        <v>254160814.99999982</v>
      </c>
      <c r="BE43" s="85">
        <f t="shared" si="17"/>
        <v>256470169.99999979</v>
      </c>
      <c r="BF43" s="85">
        <f t="shared" si="17"/>
        <v>258779524.99999979</v>
      </c>
      <c r="BG43" s="85">
        <f t="shared" si="17"/>
        <v>261088879.99999976</v>
      </c>
      <c r="BH43" s="85">
        <f t="shared" si="17"/>
        <v>263398234.99999976</v>
      </c>
      <c r="BI43" s="85"/>
    </row>
    <row r="44" spans="1:61" x14ac:dyDescent="0.2">
      <c r="B44" s="31"/>
    </row>
    <row r="45" spans="1:61" x14ac:dyDescent="0.2">
      <c r="A45" t="s">
        <v>783</v>
      </c>
      <c r="B45" s="31"/>
      <c r="C45" s="122">
        <f t="shared" ref="C45:AL45" si="18" xml:space="preserve"> D46</f>
        <v>0</v>
      </c>
      <c r="D45" s="122">
        <f t="shared" si="18"/>
        <v>1</v>
      </c>
      <c r="E45" s="122">
        <f t="shared" si="18"/>
        <v>1</v>
      </c>
      <c r="F45" s="122">
        <f t="shared" si="18"/>
        <v>1</v>
      </c>
      <c r="G45" s="122">
        <f t="shared" si="18"/>
        <v>1</v>
      </c>
      <c r="H45" s="122">
        <f t="shared" si="18"/>
        <v>1</v>
      </c>
      <c r="I45" s="122">
        <f t="shared" si="18"/>
        <v>1</v>
      </c>
      <c r="J45" s="122">
        <f t="shared" si="18"/>
        <v>1</v>
      </c>
      <c r="K45" s="122">
        <f t="shared" si="18"/>
        <v>1</v>
      </c>
      <c r="L45" s="122">
        <f t="shared" si="18"/>
        <v>1</v>
      </c>
      <c r="M45" s="122">
        <f t="shared" si="18"/>
        <v>1</v>
      </c>
      <c r="N45" s="122">
        <f t="shared" si="18"/>
        <v>1</v>
      </c>
      <c r="O45" s="122">
        <f t="shared" si="18"/>
        <v>1</v>
      </c>
      <c r="P45" s="122">
        <f t="shared" si="18"/>
        <v>1</v>
      </c>
      <c r="Q45" s="122">
        <f t="shared" si="18"/>
        <v>1</v>
      </c>
      <c r="R45" s="122">
        <f t="shared" si="18"/>
        <v>1</v>
      </c>
      <c r="S45" s="122">
        <f t="shared" si="18"/>
        <v>0</v>
      </c>
      <c r="T45" s="122">
        <f t="shared" si="18"/>
        <v>0</v>
      </c>
      <c r="U45" s="122">
        <f t="shared" si="18"/>
        <v>0</v>
      </c>
      <c r="V45" s="122">
        <f t="shared" si="18"/>
        <v>0</v>
      </c>
      <c r="W45" s="122">
        <f t="shared" si="18"/>
        <v>0</v>
      </c>
      <c r="X45" s="122">
        <f t="shared" si="18"/>
        <v>0</v>
      </c>
      <c r="Y45" s="122">
        <f t="shared" si="18"/>
        <v>0</v>
      </c>
      <c r="Z45" s="122">
        <f t="shared" si="18"/>
        <v>0</v>
      </c>
      <c r="AA45" s="122">
        <f t="shared" si="18"/>
        <v>0</v>
      </c>
      <c r="AB45" s="122">
        <f t="shared" si="18"/>
        <v>0</v>
      </c>
      <c r="AC45" s="122">
        <f t="shared" si="18"/>
        <v>0</v>
      </c>
      <c r="AD45" s="122">
        <f t="shared" si="18"/>
        <v>0</v>
      </c>
      <c r="AE45" s="122">
        <f t="shared" si="18"/>
        <v>0</v>
      </c>
      <c r="AF45" s="122">
        <f t="shared" si="18"/>
        <v>0</v>
      </c>
      <c r="AG45" s="122">
        <f t="shared" si="18"/>
        <v>0</v>
      </c>
      <c r="AH45" s="122">
        <f t="shared" si="18"/>
        <v>0</v>
      </c>
      <c r="AI45" s="122">
        <f t="shared" si="18"/>
        <v>0</v>
      </c>
      <c r="AJ45" s="122">
        <f t="shared" si="18"/>
        <v>0</v>
      </c>
      <c r="AK45" s="122">
        <f t="shared" si="18"/>
        <v>0</v>
      </c>
      <c r="AL45" s="122">
        <f t="shared" si="18"/>
        <v>0</v>
      </c>
      <c r="AM45" s="122">
        <f t="shared" ref="AM45:BH45" si="19" xml:space="preserve"> BI46</f>
        <v>0</v>
      </c>
      <c r="AN45" s="122">
        <f t="shared" si="19"/>
        <v>0</v>
      </c>
      <c r="AO45" s="122">
        <f t="shared" si="19"/>
        <v>0</v>
      </c>
      <c r="AP45" s="122">
        <f t="shared" si="19"/>
        <v>0</v>
      </c>
      <c r="AQ45" s="122">
        <f t="shared" si="19"/>
        <v>0</v>
      </c>
      <c r="AR45" s="122">
        <f t="shared" si="19"/>
        <v>0</v>
      </c>
      <c r="AS45" s="122">
        <f t="shared" si="19"/>
        <v>0</v>
      </c>
      <c r="AT45" s="122">
        <f t="shared" si="19"/>
        <v>0</v>
      </c>
      <c r="AU45" s="122">
        <f t="shared" si="19"/>
        <v>0</v>
      </c>
      <c r="AV45" s="122">
        <f t="shared" si="19"/>
        <v>0</v>
      </c>
      <c r="AW45" s="122">
        <f t="shared" si="19"/>
        <v>0</v>
      </c>
      <c r="AX45" s="122">
        <f t="shared" si="19"/>
        <v>0</v>
      </c>
      <c r="AY45" s="122">
        <f t="shared" si="19"/>
        <v>0</v>
      </c>
      <c r="AZ45" s="122">
        <f t="shared" si="19"/>
        <v>0</v>
      </c>
      <c r="BA45" s="122">
        <f t="shared" si="19"/>
        <v>0</v>
      </c>
      <c r="BB45" s="122">
        <f t="shared" si="19"/>
        <v>0</v>
      </c>
      <c r="BC45" s="122">
        <f t="shared" si="19"/>
        <v>0</v>
      </c>
      <c r="BD45" s="122">
        <f t="shared" si="19"/>
        <v>0</v>
      </c>
      <c r="BE45" s="122">
        <f t="shared" si="19"/>
        <v>0</v>
      </c>
      <c r="BF45" s="122">
        <f t="shared" si="19"/>
        <v>0</v>
      </c>
      <c r="BG45" s="122">
        <f t="shared" si="19"/>
        <v>0</v>
      </c>
      <c r="BH45" s="122">
        <f t="shared" si="19"/>
        <v>0</v>
      </c>
    </row>
    <row r="46" spans="1:61" x14ac:dyDescent="0.2">
      <c r="A46" t="s">
        <v>784</v>
      </c>
      <c r="B46" s="31"/>
      <c r="C46" s="122">
        <f t="shared" ref="C46:AL46" si="20" xml:space="preserve"> D47-C47</f>
        <v>0</v>
      </c>
      <c r="D46" s="122">
        <f t="shared" si="20"/>
        <v>0</v>
      </c>
      <c r="E46" s="122">
        <f t="shared" si="20"/>
        <v>1</v>
      </c>
      <c r="F46" s="122">
        <f t="shared" si="20"/>
        <v>1</v>
      </c>
      <c r="G46" s="122">
        <f t="shared" si="20"/>
        <v>1</v>
      </c>
      <c r="H46" s="122">
        <f t="shared" si="20"/>
        <v>1</v>
      </c>
      <c r="I46" s="122">
        <f t="shared" si="20"/>
        <v>1</v>
      </c>
      <c r="J46" s="122">
        <f t="shared" si="20"/>
        <v>1</v>
      </c>
      <c r="K46" s="122">
        <f t="shared" si="20"/>
        <v>1</v>
      </c>
      <c r="L46" s="122">
        <f t="shared" si="20"/>
        <v>1</v>
      </c>
      <c r="M46" s="122">
        <f t="shared" si="20"/>
        <v>1</v>
      </c>
      <c r="N46" s="122">
        <f t="shared" si="20"/>
        <v>1</v>
      </c>
      <c r="O46" s="122">
        <f t="shared" si="20"/>
        <v>1</v>
      </c>
      <c r="P46" s="122">
        <f t="shared" si="20"/>
        <v>1</v>
      </c>
      <c r="Q46" s="122">
        <f t="shared" si="20"/>
        <v>1</v>
      </c>
      <c r="R46" s="122">
        <f t="shared" si="20"/>
        <v>1</v>
      </c>
      <c r="S46" s="122">
        <f t="shared" si="20"/>
        <v>1</v>
      </c>
      <c r="T46" s="122">
        <f t="shared" si="20"/>
        <v>0</v>
      </c>
      <c r="U46" s="122">
        <f t="shared" si="20"/>
        <v>0</v>
      </c>
      <c r="V46" s="122">
        <f t="shared" si="20"/>
        <v>0</v>
      </c>
      <c r="W46" s="122">
        <f t="shared" si="20"/>
        <v>0</v>
      </c>
      <c r="X46" s="122">
        <f t="shared" si="20"/>
        <v>0</v>
      </c>
      <c r="Y46" s="122">
        <f t="shared" si="20"/>
        <v>0</v>
      </c>
      <c r="Z46" s="122">
        <f t="shared" si="20"/>
        <v>0</v>
      </c>
      <c r="AA46" s="122">
        <f t="shared" si="20"/>
        <v>0</v>
      </c>
      <c r="AB46" s="122">
        <f t="shared" si="20"/>
        <v>0</v>
      </c>
      <c r="AC46" s="122">
        <f t="shared" si="20"/>
        <v>0</v>
      </c>
      <c r="AD46" s="122">
        <f t="shared" si="20"/>
        <v>0</v>
      </c>
      <c r="AE46" s="122">
        <f t="shared" si="20"/>
        <v>0</v>
      </c>
      <c r="AF46" s="122">
        <f t="shared" si="20"/>
        <v>0</v>
      </c>
      <c r="AG46" s="122">
        <f t="shared" si="20"/>
        <v>0</v>
      </c>
      <c r="AH46" s="122">
        <f t="shared" si="20"/>
        <v>0</v>
      </c>
      <c r="AI46" s="122">
        <f t="shared" si="20"/>
        <v>0</v>
      </c>
      <c r="AJ46" s="122">
        <f t="shared" si="20"/>
        <v>0</v>
      </c>
      <c r="AK46" s="122">
        <f t="shared" si="20"/>
        <v>0</v>
      </c>
      <c r="AL46" s="122">
        <f t="shared" si="20"/>
        <v>0</v>
      </c>
      <c r="AM46" s="122">
        <v>0</v>
      </c>
      <c r="AN46" s="122">
        <v>0</v>
      </c>
      <c r="AO46" s="122">
        <v>0</v>
      </c>
      <c r="AP46" s="122">
        <v>0</v>
      </c>
      <c r="AQ46" s="122">
        <v>0</v>
      </c>
      <c r="AR46" s="122">
        <v>0</v>
      </c>
      <c r="AS46" s="122">
        <v>0</v>
      </c>
      <c r="AT46" s="122">
        <v>0</v>
      </c>
      <c r="AU46" s="122">
        <v>0</v>
      </c>
      <c r="AV46" s="122">
        <v>0</v>
      </c>
      <c r="AW46" s="122">
        <v>0</v>
      </c>
      <c r="AX46" s="122">
        <v>0</v>
      </c>
      <c r="AY46" s="122">
        <v>0</v>
      </c>
      <c r="AZ46" s="122">
        <v>0</v>
      </c>
      <c r="BA46" s="122">
        <v>0</v>
      </c>
      <c r="BB46" s="122">
        <v>0</v>
      </c>
      <c r="BC46" s="122">
        <v>0</v>
      </c>
      <c r="BD46" s="122">
        <v>0</v>
      </c>
      <c r="BE46" s="122">
        <v>0</v>
      </c>
      <c r="BF46" s="122">
        <v>0</v>
      </c>
      <c r="BG46" s="122">
        <v>0</v>
      </c>
      <c r="BH46" s="122">
        <v>0</v>
      </c>
    </row>
    <row r="47" spans="1:61" x14ac:dyDescent="0.2">
      <c r="A47" t="s">
        <v>785</v>
      </c>
      <c r="B47" s="31"/>
      <c r="C47">
        <v>0</v>
      </c>
      <c r="D47">
        <v>0</v>
      </c>
      <c r="E47">
        <v>0</v>
      </c>
      <c r="F47">
        <v>1</v>
      </c>
      <c r="G47">
        <v>2</v>
      </c>
      <c r="H47">
        <v>3</v>
      </c>
      <c r="I47">
        <v>4</v>
      </c>
      <c r="J47">
        <v>5</v>
      </c>
      <c r="K47">
        <v>6</v>
      </c>
      <c r="L47">
        <v>7</v>
      </c>
      <c r="M47">
        <v>8</v>
      </c>
      <c r="N47">
        <v>9</v>
      </c>
      <c r="O47">
        <v>10</v>
      </c>
      <c r="P47">
        <v>11</v>
      </c>
      <c r="Q47">
        <v>12</v>
      </c>
      <c r="R47">
        <v>13</v>
      </c>
      <c r="S47">
        <v>14</v>
      </c>
      <c r="T47">
        <v>15</v>
      </c>
      <c r="U47">
        <v>15</v>
      </c>
      <c r="V47">
        <v>15</v>
      </c>
      <c r="W47">
        <v>15</v>
      </c>
      <c r="X47">
        <v>15</v>
      </c>
      <c r="Y47">
        <v>15</v>
      </c>
      <c r="Z47">
        <v>15</v>
      </c>
      <c r="AA47">
        <v>15</v>
      </c>
      <c r="AB47">
        <v>15</v>
      </c>
      <c r="AC47">
        <v>15</v>
      </c>
      <c r="AD47">
        <v>15</v>
      </c>
      <c r="AE47">
        <v>15</v>
      </c>
      <c r="AF47">
        <v>15</v>
      </c>
      <c r="AG47">
        <v>15</v>
      </c>
      <c r="AH47">
        <v>15</v>
      </c>
      <c r="AI47">
        <v>15</v>
      </c>
      <c r="AJ47">
        <v>15</v>
      </c>
      <c r="AK47">
        <v>15</v>
      </c>
      <c r="AL47">
        <v>15</v>
      </c>
      <c r="AM47">
        <v>15</v>
      </c>
      <c r="AN47">
        <v>15</v>
      </c>
      <c r="AO47">
        <v>15</v>
      </c>
      <c r="AP47">
        <v>15</v>
      </c>
      <c r="AQ47">
        <v>15</v>
      </c>
      <c r="AR47">
        <v>15</v>
      </c>
      <c r="AS47">
        <v>15</v>
      </c>
      <c r="AT47">
        <v>15</v>
      </c>
      <c r="AU47">
        <v>15</v>
      </c>
      <c r="AV47">
        <v>15</v>
      </c>
      <c r="AW47">
        <v>15</v>
      </c>
      <c r="AX47">
        <v>14</v>
      </c>
      <c r="AY47">
        <v>13</v>
      </c>
      <c r="AZ47">
        <v>12</v>
      </c>
      <c r="BA47">
        <v>11</v>
      </c>
      <c r="BB47">
        <v>10</v>
      </c>
      <c r="BC47">
        <v>9</v>
      </c>
      <c r="BD47">
        <v>8</v>
      </c>
      <c r="BE47">
        <v>7</v>
      </c>
      <c r="BF47">
        <v>6</v>
      </c>
      <c r="BG47">
        <v>5</v>
      </c>
      <c r="BH47">
        <v>4</v>
      </c>
    </row>
    <row r="48" spans="1:61" s="82" customFormat="1" hidden="1" x14ac:dyDescent="0.2">
      <c r="A48" s="82" t="s">
        <v>786</v>
      </c>
      <c r="B48" s="156"/>
      <c r="C48" s="83">
        <f xml:space="preserve"> (C46+D46)/2 * '20MGD 60 Effect Levellized VTE'!$B$3</f>
        <v>0</v>
      </c>
      <c r="D48" s="83">
        <f xml:space="preserve"> (D46+E46)/2 * '20MGD 60 Effect Levellized VTE'!$B$3</f>
        <v>25578205.29037049</v>
      </c>
      <c r="E48" s="83">
        <f xml:space="preserve"> (E46+F46)/2 * '20MGD 60 Effect Levellized VTE'!$B$3</f>
        <v>51156410.580740981</v>
      </c>
      <c r="F48" s="83">
        <f xml:space="preserve"> (F46+G46)/2 * '20MGD 60 Effect Levellized VTE'!$B$3</f>
        <v>51156410.580740981</v>
      </c>
      <c r="G48" s="83">
        <f xml:space="preserve"> (G46+H46)/2 * '20MGD 60 Effect Levellized VTE'!$B$3</f>
        <v>51156410.580740981</v>
      </c>
      <c r="H48" s="83">
        <f xml:space="preserve"> (H46+I46)/2 * '20MGD 60 Effect Levellized VTE'!$B$3</f>
        <v>51156410.580740981</v>
      </c>
      <c r="I48" s="83">
        <f xml:space="preserve"> (I46+J46)/2 * '20MGD 60 Effect Levellized VTE'!$B$3</f>
        <v>51156410.580740981</v>
      </c>
      <c r="J48" s="83">
        <f xml:space="preserve"> (J46+K46)/2 * '20MGD 60 Effect Levellized VTE'!$B$3</f>
        <v>51156410.580740981</v>
      </c>
      <c r="K48" s="83">
        <f xml:space="preserve"> (K46+L46)/2 * '20MGD 60 Effect Levellized VTE'!$B$3</f>
        <v>51156410.580740981</v>
      </c>
      <c r="L48" s="83">
        <f xml:space="preserve"> (L46+M46)/2 * '20MGD 60 Effect Levellized VTE'!$B$3</f>
        <v>51156410.580740981</v>
      </c>
      <c r="M48" s="83">
        <f xml:space="preserve"> (M46+N46)/2 * '20MGD 60 Effect Levellized VTE'!$B$3</f>
        <v>51156410.580740981</v>
      </c>
      <c r="N48" s="83">
        <f xml:space="preserve"> (N46+O46)/2 * '20MGD 60 Effect Levellized VTE'!$B$3</f>
        <v>51156410.580740981</v>
      </c>
      <c r="O48" s="83">
        <f xml:space="preserve"> (O46+P46)/2 * '20MGD 60 Effect Levellized VTE'!$B$3</f>
        <v>51156410.580740981</v>
      </c>
      <c r="P48" s="83">
        <f xml:space="preserve"> (P46+Q46)/2 * '20MGD 60 Effect Levellized VTE'!$B$3</f>
        <v>51156410.580740981</v>
      </c>
      <c r="Q48" s="83">
        <f xml:space="preserve"> (Q46+R46)/2 * '20MGD 60 Effect Levellized VTE'!$B$3</f>
        <v>51156410.580740981</v>
      </c>
      <c r="R48" s="83">
        <f xml:space="preserve"> (R46+S46)/2 * '20MGD 60 Effect Levellized VTE'!$B$3</f>
        <v>51156410.580740981</v>
      </c>
      <c r="S48" s="83">
        <f xml:space="preserve"> (S46+T46)/2 * '20MGD 60 Effect Levellized VTE'!$B$3</f>
        <v>25578205.29037049</v>
      </c>
      <c r="T48" s="83">
        <f xml:space="preserve"> (T46+U46)/2 * '20MGD 60 Effect Levellized VTE'!$B$3</f>
        <v>0</v>
      </c>
      <c r="U48" s="83">
        <f xml:space="preserve"> (U46+V46)/2 * '20MGD 60 Effect Levellized VTE'!$B$3</f>
        <v>0</v>
      </c>
      <c r="V48" s="83">
        <f xml:space="preserve"> (V46+W46)/2 * '20MGD 60 Effect Levellized VTE'!$B$3</f>
        <v>0</v>
      </c>
      <c r="W48" s="83">
        <f xml:space="preserve"> (W46+X46)/2 * '20MGD 60 Effect Levellized VTE'!$B$3</f>
        <v>0</v>
      </c>
      <c r="X48" s="83">
        <f xml:space="preserve"> (X46+Y46)/2 * '20MGD 60 Effect Levellized VTE'!$B$3</f>
        <v>0</v>
      </c>
      <c r="Y48" s="83">
        <f xml:space="preserve"> (Y46+Z46)/2 * '20MGD 60 Effect Levellized VTE'!$B$3</f>
        <v>0</v>
      </c>
      <c r="Z48" s="83">
        <f xml:space="preserve"> (Z46+AA46)/2 * '20MGD 60 Effect Levellized VTE'!$B$3</f>
        <v>0</v>
      </c>
      <c r="AA48" s="83">
        <f xml:space="preserve"> (AA46+AB46)/2 * '20MGD 60 Effect Levellized VTE'!$B$3</f>
        <v>0</v>
      </c>
      <c r="AB48" s="83">
        <f xml:space="preserve"> (AB46+AC46)/2 * '20MGD 60 Effect Levellized VTE'!$B$3</f>
        <v>0</v>
      </c>
      <c r="AC48" s="83">
        <f xml:space="preserve"> (AC46+AD46)/2 * '20MGD 60 Effect Levellized VTE'!$B$3</f>
        <v>0</v>
      </c>
      <c r="AD48" s="83">
        <f xml:space="preserve"> (AD46+AE46)/2 * '20MGD 60 Effect Levellized VTE'!$B$3</f>
        <v>0</v>
      </c>
      <c r="AE48" s="83">
        <f xml:space="preserve"> (AE46+AF46)/2 * '20MGD 60 Effect Levellized VTE'!$B$3</f>
        <v>0</v>
      </c>
      <c r="AF48" s="83">
        <f xml:space="preserve"> (AF46+AG46)/2 * '20MGD 60 Effect Levellized VTE'!$B$3</f>
        <v>0</v>
      </c>
      <c r="AG48" s="83">
        <f xml:space="preserve"> (AG46+AH46)/2 * '20MGD 60 Effect Levellized VTE'!$B$3</f>
        <v>0</v>
      </c>
      <c r="AH48" s="83">
        <f xml:space="preserve"> (AH46+AI46)/2 * '20MGD 60 Effect Levellized VTE'!$B$3</f>
        <v>0</v>
      </c>
      <c r="AI48" s="83">
        <f xml:space="preserve"> (AI46+AJ46)/2 * '20MGD 60 Effect Levellized VTE'!$B$3</f>
        <v>0</v>
      </c>
      <c r="AJ48" s="83">
        <f xml:space="preserve"> (AJ46+AK46)/2 * '20MGD 60 Effect Levellized VTE'!$B$3</f>
        <v>0</v>
      </c>
      <c r="AK48" s="83">
        <f xml:space="preserve"> (AK46+AL46)/2 * '20MGD 60 Effect Levellized VTE'!$B$3</f>
        <v>0</v>
      </c>
      <c r="AL48" s="83">
        <f xml:space="preserve"> (AL46+AM46)/2 * '20MGD 60 Effect Levellized VTE'!$B$3</f>
        <v>0</v>
      </c>
      <c r="AM48" s="83">
        <f xml:space="preserve"> (AM46+BI46)/2 * '20MGD 60 Effect Levellized VTE'!$B$3</f>
        <v>0</v>
      </c>
      <c r="AN48" s="83">
        <f xml:space="preserve"> (AN46+BJ46)/2 * '20MGD 60 Effect Levellized VTE'!$B$3</f>
        <v>0</v>
      </c>
      <c r="AO48" s="83">
        <f xml:space="preserve"> (AO46+BK46)/2 * '20MGD 60 Effect Levellized VTE'!$B$3</f>
        <v>0</v>
      </c>
      <c r="AP48" s="83">
        <f xml:space="preserve"> (AP46+BL46)/2 * '20MGD 60 Effect Levellized VTE'!$B$3</f>
        <v>0</v>
      </c>
      <c r="AQ48" s="83">
        <f xml:space="preserve"> (AQ46+BM46)/2 * '20MGD 60 Effect Levellized VTE'!$B$3</f>
        <v>0</v>
      </c>
      <c r="AR48" s="83">
        <f xml:space="preserve"> (AR46+BN46)/2 * '20MGD 60 Effect Levellized VTE'!$B$3</f>
        <v>0</v>
      </c>
      <c r="AS48" s="83">
        <f xml:space="preserve"> (AS46+BO46)/2 * '20MGD 60 Effect Levellized VTE'!$B$3</f>
        <v>0</v>
      </c>
      <c r="AT48" s="83">
        <f xml:space="preserve"> (AT46+BP46)/2 * '20MGD 60 Effect Levellized VTE'!$B$3</f>
        <v>0</v>
      </c>
      <c r="AU48" s="83">
        <f xml:space="preserve"> (AU46+BQ46)/2 * '20MGD 60 Effect Levellized VTE'!$B$3</f>
        <v>0</v>
      </c>
      <c r="AV48" s="83">
        <f xml:space="preserve"> (AV46+BR46)/2 * '20MGD 60 Effect Levellized VTE'!$B$3</f>
        <v>0</v>
      </c>
      <c r="AW48" s="83">
        <f xml:space="preserve"> (AW46+BS46)/2 * '20MGD 60 Effect Levellized VTE'!$B$3</f>
        <v>0</v>
      </c>
      <c r="AX48" s="83">
        <f xml:space="preserve"> (AX46+BT46)/2 * '20MGD 60 Effect Levellized VTE'!$B$3</f>
        <v>0</v>
      </c>
      <c r="AY48" s="83">
        <f xml:space="preserve"> (AY46+BU46)/2 * '20MGD 60 Effect Levellized VTE'!$B$3</f>
        <v>0</v>
      </c>
      <c r="AZ48" s="83">
        <f xml:space="preserve"> (AZ46+BV46)/2 * '20MGD 60 Effect Levellized VTE'!$B$3</f>
        <v>0</v>
      </c>
      <c r="BA48" s="83">
        <f xml:space="preserve"> (BA46+BW46)/2 * '20MGD 60 Effect Levellized VTE'!$B$3</f>
        <v>0</v>
      </c>
      <c r="BB48" s="83">
        <f xml:space="preserve"> (BB46+BX46)/2 * '20MGD 60 Effect Levellized VTE'!$B$3</f>
        <v>0</v>
      </c>
      <c r="BC48" s="83">
        <f xml:space="preserve"> (BC46+BY46)/2 * '20MGD 60 Effect Levellized VTE'!$B$3</f>
        <v>0</v>
      </c>
      <c r="BD48" s="83">
        <f xml:space="preserve"> (BD46+BZ46)/2 * '20MGD 60 Effect Levellized VTE'!$B$3</f>
        <v>0</v>
      </c>
      <c r="BE48" s="83">
        <f xml:space="preserve"> (BE46+CA46)/2 * '20MGD 60 Effect Levellized VTE'!$B$3</f>
        <v>0</v>
      </c>
      <c r="BF48" s="83">
        <f xml:space="preserve"> (BF46+CB46)/2 * '20MGD 60 Effect Levellized VTE'!$B$3</f>
        <v>0</v>
      </c>
      <c r="BG48" s="83">
        <f xml:space="preserve"> (BG46+CC46)/2 * '20MGD 60 Effect Levellized VTE'!$B$3</f>
        <v>0</v>
      </c>
      <c r="BH48" s="83">
        <f xml:space="preserve"> (BH46+CD46)/2 * '20MGD 60 Effect Levellized VTE'!$B$3</f>
        <v>0</v>
      </c>
      <c r="BI48" s="83"/>
    </row>
    <row r="49" spans="1:61" s="82" customFormat="1" hidden="1" x14ac:dyDescent="0.2">
      <c r="A49" s="82" t="s">
        <v>787</v>
      </c>
      <c r="B49" s="156"/>
      <c r="C49" s="83">
        <f>C47 * '20MGD 60 Effect Levellized VTE'!$B$31</f>
        <v>0</v>
      </c>
      <c r="D49" s="83">
        <f>D47 * '20MGD 60 Effect Levellized VTE'!$B$31</f>
        <v>0</v>
      </c>
      <c r="E49" s="83">
        <f>E47 * '20MGD 60 Effect Levellized VTE'!$B$31</f>
        <v>0</v>
      </c>
      <c r="F49" s="83">
        <f>F47 * '20MGD 60 Effect Levellized VTE'!$B$31</f>
        <v>4307000</v>
      </c>
      <c r="G49" s="83">
        <f>G47 * '20MGD 60 Effect Levellized VTE'!$B$31</f>
        <v>8614000</v>
      </c>
      <c r="H49" s="83">
        <f>H47 * '20MGD 60 Effect Levellized VTE'!$B$31</f>
        <v>12921000</v>
      </c>
      <c r="I49" s="83">
        <f>I47 * '20MGD 60 Effect Levellized VTE'!$B$31</f>
        <v>17228000</v>
      </c>
      <c r="J49" s="83">
        <f>J47 * '20MGD 60 Effect Levellized VTE'!$B$31</f>
        <v>21535000</v>
      </c>
      <c r="K49" s="83">
        <f>K47 * '20MGD 60 Effect Levellized VTE'!$B$31</f>
        <v>25842000</v>
      </c>
      <c r="L49" s="83">
        <f>L47 * '20MGD 60 Effect Levellized VTE'!$B$31</f>
        <v>30149000</v>
      </c>
      <c r="M49" s="83">
        <f>M47 * '20MGD 60 Effect Levellized VTE'!$B$31</f>
        <v>34456000</v>
      </c>
      <c r="N49" s="83">
        <f>N47 * '20MGD 60 Effect Levellized VTE'!$B$31</f>
        <v>38763000</v>
      </c>
      <c r="O49" s="83">
        <f>O47 * '20MGD 60 Effect Levellized VTE'!$B$31</f>
        <v>43070000</v>
      </c>
      <c r="P49" s="83">
        <f>P47 * '20MGD 60 Effect Levellized VTE'!$B$31</f>
        <v>47377000</v>
      </c>
      <c r="Q49" s="83">
        <f>Q47 * '20MGD 60 Effect Levellized VTE'!$B$31</f>
        <v>51684000</v>
      </c>
      <c r="R49" s="83">
        <f>R47 * '20MGD 60 Effect Levellized VTE'!$B$31</f>
        <v>55991000</v>
      </c>
      <c r="S49" s="83">
        <f>S47 * '20MGD 60 Effect Levellized VTE'!$B$31</f>
        <v>60298000</v>
      </c>
      <c r="T49" s="83">
        <f>T47 * '20MGD 60 Effect Levellized VTE'!$B$31</f>
        <v>64605000</v>
      </c>
      <c r="U49" s="83">
        <f>U47 * '20MGD 60 Effect Levellized VTE'!$B$31</f>
        <v>64605000</v>
      </c>
      <c r="V49" s="83">
        <f>V47 * '20MGD 60 Effect Levellized VTE'!$B$31</f>
        <v>64605000</v>
      </c>
      <c r="W49" s="83">
        <f>W47 * '20MGD 60 Effect Levellized VTE'!$B$31</f>
        <v>64605000</v>
      </c>
      <c r="X49" s="83">
        <f>X47 * '20MGD 60 Effect Levellized VTE'!$B$31</f>
        <v>64605000</v>
      </c>
      <c r="Y49" s="83">
        <f>Y47 * '20MGD 60 Effect Levellized VTE'!$B$31</f>
        <v>64605000</v>
      </c>
      <c r="Z49" s="83">
        <f>Z47 * '20MGD 60 Effect Levellized VTE'!$B$31</f>
        <v>64605000</v>
      </c>
      <c r="AA49" s="83">
        <f>AA47 * '20MGD 60 Effect Levellized VTE'!$B$31</f>
        <v>64605000</v>
      </c>
      <c r="AB49" s="83">
        <f>AB47 * '20MGD 60 Effect Levellized VTE'!$B$31</f>
        <v>64605000</v>
      </c>
      <c r="AC49" s="83">
        <f>AC47 * '20MGD 60 Effect Levellized VTE'!$B$31</f>
        <v>64605000</v>
      </c>
      <c r="AD49" s="83">
        <f>AD47 * '20MGD 60 Effect Levellized VTE'!$B$31</f>
        <v>64605000</v>
      </c>
      <c r="AE49" s="83">
        <f>AE47 * '20MGD 60 Effect Levellized VTE'!$B$31</f>
        <v>64605000</v>
      </c>
      <c r="AF49" s="83">
        <f>AF47 * '20MGD 60 Effect Levellized VTE'!$B$31</f>
        <v>64605000</v>
      </c>
      <c r="AG49" s="83">
        <f>AG47 * '20MGD 60 Effect Levellized VTE'!$B$31</f>
        <v>64605000</v>
      </c>
      <c r="AH49" s="83">
        <f>AH47 * '20MGD 60 Effect Levellized VTE'!$B$31</f>
        <v>64605000</v>
      </c>
      <c r="AI49" s="83">
        <f>AI47 * '20MGD 60 Effect Levellized VTE'!$B$31</f>
        <v>64605000</v>
      </c>
      <c r="AJ49" s="83">
        <f>AJ47 * '20MGD 60 Effect Levellized VTE'!$B$31</f>
        <v>64605000</v>
      </c>
      <c r="AK49" s="83">
        <f>AK47 * '20MGD 60 Effect Levellized VTE'!$B$31</f>
        <v>64605000</v>
      </c>
      <c r="AL49" s="83">
        <f>AL47 * '20MGD 60 Effect Levellized VTE'!$B$31</f>
        <v>64605000</v>
      </c>
      <c r="AM49" s="83">
        <f>AM47 * '20MGD 60 Effect Levellized VTE'!$B$31</f>
        <v>64605000</v>
      </c>
      <c r="AN49" s="83">
        <f>AN47 * '20MGD 60 Effect Levellized VTE'!$B$31</f>
        <v>64605000</v>
      </c>
      <c r="AO49" s="83">
        <f>AO47 * '20MGD 60 Effect Levellized VTE'!$B$31</f>
        <v>64605000</v>
      </c>
      <c r="AP49" s="83">
        <f>AP47 * '20MGD 60 Effect Levellized VTE'!$B$31</f>
        <v>64605000</v>
      </c>
      <c r="AQ49" s="83">
        <f>AQ47 * '20MGD 60 Effect Levellized VTE'!$B$31</f>
        <v>64605000</v>
      </c>
      <c r="AR49" s="83">
        <f>AR47 * '20MGD 60 Effect Levellized VTE'!$B$31</f>
        <v>64605000</v>
      </c>
      <c r="AS49" s="83">
        <f>AS47 * '20MGD 60 Effect Levellized VTE'!$B$31</f>
        <v>64605000</v>
      </c>
      <c r="AT49" s="83">
        <f>AT47 * '20MGD 60 Effect Levellized VTE'!$B$31</f>
        <v>64605000</v>
      </c>
      <c r="AU49" s="83">
        <f>AU47 * '20MGD 60 Effect Levellized VTE'!$B$31</f>
        <v>64605000</v>
      </c>
      <c r="AV49" s="83">
        <f>AV47 * '20MGD 60 Effect Levellized VTE'!$B$31</f>
        <v>64605000</v>
      </c>
      <c r="AW49" s="83">
        <f>AW47 * '20MGD 60 Effect Levellized VTE'!$B$31</f>
        <v>64605000</v>
      </c>
      <c r="AX49" s="83">
        <f>AX47 * '20MGD 60 Effect Levellized VTE'!$B$31</f>
        <v>60298000</v>
      </c>
      <c r="AY49" s="83">
        <f>AY47 * '20MGD 60 Effect Levellized VTE'!$B$31</f>
        <v>55991000</v>
      </c>
      <c r="AZ49" s="83">
        <f>AZ47 * '20MGD 60 Effect Levellized VTE'!$B$31</f>
        <v>51684000</v>
      </c>
      <c r="BA49" s="83">
        <f>BA47 * '20MGD 60 Effect Levellized VTE'!$B$31</f>
        <v>47377000</v>
      </c>
      <c r="BB49" s="83">
        <f>BB47 * '20MGD 60 Effect Levellized VTE'!$B$31</f>
        <v>43070000</v>
      </c>
      <c r="BC49" s="83">
        <f>BC47 * '20MGD 60 Effect Levellized VTE'!$B$31</f>
        <v>38763000</v>
      </c>
      <c r="BD49" s="83">
        <f>BD47 * '20MGD 60 Effect Levellized VTE'!$B$31</f>
        <v>34456000</v>
      </c>
      <c r="BE49" s="83">
        <f>BE47 * '20MGD 60 Effect Levellized VTE'!$B$31</f>
        <v>30149000</v>
      </c>
      <c r="BF49" s="83">
        <f>BF47 * '20MGD 60 Effect Levellized VTE'!$B$31</f>
        <v>25842000</v>
      </c>
      <c r="BG49" s="83">
        <f>BG47 * '20MGD 60 Effect Levellized VTE'!$B$31</f>
        <v>21535000</v>
      </c>
      <c r="BH49" s="83">
        <f>BH47 * '20MGD 60 Effect Levellized VTE'!$B$31</f>
        <v>17228000</v>
      </c>
      <c r="BI49" s="83"/>
    </row>
    <row r="50" spans="1:61" s="82" customFormat="1" hidden="1" x14ac:dyDescent="0.2">
      <c r="A50" s="82" t="s">
        <v>788</v>
      </c>
      <c r="B50" s="156"/>
      <c r="C50" s="83">
        <f>C47 * '20MGD 60 Effect Levellized VTE'!$B$24</f>
        <v>0</v>
      </c>
      <c r="D50" s="83">
        <f>D47 * '20MGD 60 Effect Levellized VTE'!$B$24</f>
        <v>0</v>
      </c>
      <c r="E50" s="83">
        <f>E47 * '20MGD 60 Effect Levellized VTE'!$B$24</f>
        <v>0</v>
      </c>
      <c r="F50" s="83">
        <f>F47 * '20MGD 60 Effect Levellized VTE'!$B$24</f>
        <v>4493880</v>
      </c>
      <c r="G50" s="83">
        <f>G47 * '20MGD 60 Effect Levellized VTE'!$B$24</f>
        <v>8987760</v>
      </c>
      <c r="H50" s="83">
        <f>H47 * '20MGD 60 Effect Levellized VTE'!$B$24</f>
        <v>13481640</v>
      </c>
      <c r="I50" s="83">
        <f>I47 * '20MGD 60 Effect Levellized VTE'!$B$24</f>
        <v>17975520</v>
      </c>
      <c r="J50" s="83">
        <f>J47 * '20MGD 60 Effect Levellized VTE'!$B$24</f>
        <v>22469400</v>
      </c>
      <c r="K50" s="83">
        <f>K47 * '20MGD 60 Effect Levellized VTE'!$B$24</f>
        <v>26963280</v>
      </c>
      <c r="L50" s="83">
        <f>L47 * '20MGD 60 Effect Levellized VTE'!$B$24</f>
        <v>31457160</v>
      </c>
      <c r="M50" s="83">
        <f>M47 * '20MGD 60 Effect Levellized VTE'!$B$24</f>
        <v>35951040</v>
      </c>
      <c r="N50" s="83">
        <f>N47 * '20MGD 60 Effect Levellized VTE'!$B$24</f>
        <v>40444920</v>
      </c>
      <c r="O50" s="83">
        <f>O47 * '20MGD 60 Effect Levellized VTE'!$B$24</f>
        <v>44938800</v>
      </c>
      <c r="P50" s="83">
        <f>P47 * '20MGD 60 Effect Levellized VTE'!$B$24</f>
        <v>49432680</v>
      </c>
      <c r="Q50" s="83">
        <f>Q47 * '20MGD 60 Effect Levellized VTE'!$B$24</f>
        <v>53926560</v>
      </c>
      <c r="R50" s="83">
        <f>R47 * '20MGD 60 Effect Levellized VTE'!$B$24</f>
        <v>58420440</v>
      </c>
      <c r="S50" s="83">
        <f>S47 * '20MGD 60 Effect Levellized VTE'!$B$24</f>
        <v>62914320</v>
      </c>
      <c r="T50" s="83">
        <f>T47 * '20MGD 60 Effect Levellized VTE'!$B$24</f>
        <v>67408200</v>
      </c>
      <c r="U50" s="83">
        <f>U47 * '20MGD 60 Effect Levellized VTE'!$B$24</f>
        <v>67408200</v>
      </c>
      <c r="V50" s="83">
        <f>V47 * '20MGD 60 Effect Levellized VTE'!$B$24</f>
        <v>67408200</v>
      </c>
      <c r="W50" s="83">
        <f>W47 * '20MGD 60 Effect Levellized VTE'!$B$24</f>
        <v>67408200</v>
      </c>
      <c r="X50" s="83">
        <f>X47 * '20MGD 60 Effect Levellized VTE'!$B$24</f>
        <v>67408200</v>
      </c>
      <c r="Y50" s="83">
        <f>Y47 * '20MGD 60 Effect Levellized VTE'!$B$24</f>
        <v>67408200</v>
      </c>
      <c r="Z50" s="83">
        <f>Z47 * '20MGD 60 Effect Levellized VTE'!$B$24</f>
        <v>67408200</v>
      </c>
      <c r="AA50" s="83">
        <f>AA47 * '20MGD 60 Effect Levellized VTE'!$B$24</f>
        <v>67408200</v>
      </c>
      <c r="AB50" s="83">
        <f>AB47 * '20MGD 60 Effect Levellized VTE'!$B$24</f>
        <v>67408200</v>
      </c>
      <c r="AC50" s="83">
        <f>AC47 * '20MGD 60 Effect Levellized VTE'!$B$24</f>
        <v>67408200</v>
      </c>
      <c r="AD50" s="83">
        <f>AD47 * '20MGD 60 Effect Levellized VTE'!$B$24</f>
        <v>67408200</v>
      </c>
      <c r="AE50" s="83">
        <f>AE47 * '20MGD 60 Effect Levellized VTE'!$B$24</f>
        <v>67408200</v>
      </c>
      <c r="AF50" s="83">
        <f>AF47 * '20MGD 60 Effect Levellized VTE'!$B$24</f>
        <v>67408200</v>
      </c>
      <c r="AG50" s="83">
        <f>AG47 * '20MGD 60 Effect Levellized VTE'!$B$24</f>
        <v>67408200</v>
      </c>
      <c r="AH50" s="83">
        <f>AH47 * '20MGD 60 Effect Levellized VTE'!$B$24</f>
        <v>67408200</v>
      </c>
      <c r="AI50" s="83">
        <f>AI47 * '20MGD 60 Effect Levellized VTE'!$B$24</f>
        <v>67408200</v>
      </c>
      <c r="AJ50" s="83">
        <f>AJ47 * '20MGD 60 Effect Levellized VTE'!$B$24</f>
        <v>67408200</v>
      </c>
      <c r="AK50" s="83">
        <f>AK47 * '20MGD 60 Effect Levellized VTE'!$B$24</f>
        <v>67408200</v>
      </c>
      <c r="AL50" s="83">
        <f>AL47 * '20MGD 60 Effect Levellized VTE'!$B$24</f>
        <v>67408200</v>
      </c>
      <c r="AM50" s="83">
        <f>AM47 * '20MGD 60 Effect Levellized VTE'!$B$24</f>
        <v>67408200</v>
      </c>
      <c r="AN50" s="83">
        <f>AN47 * '20MGD 60 Effect Levellized VTE'!$B$24</f>
        <v>67408200</v>
      </c>
      <c r="AO50" s="83">
        <f>AO47 * '20MGD 60 Effect Levellized VTE'!$B$24</f>
        <v>67408200</v>
      </c>
      <c r="AP50" s="83">
        <f>AP47 * '20MGD 60 Effect Levellized VTE'!$B$24</f>
        <v>67408200</v>
      </c>
      <c r="AQ50" s="83">
        <f>AQ47 * '20MGD 60 Effect Levellized VTE'!$B$24</f>
        <v>67408200</v>
      </c>
      <c r="AR50" s="83">
        <f>AR47 * '20MGD 60 Effect Levellized VTE'!$B$24</f>
        <v>67408200</v>
      </c>
      <c r="AS50" s="83">
        <f>AS47 * '20MGD 60 Effect Levellized VTE'!$B$24</f>
        <v>67408200</v>
      </c>
      <c r="AT50" s="83">
        <f>AT47 * '20MGD 60 Effect Levellized VTE'!$B$24</f>
        <v>67408200</v>
      </c>
      <c r="AU50" s="83">
        <f>AU47 * '20MGD 60 Effect Levellized VTE'!$B$24</f>
        <v>67408200</v>
      </c>
      <c r="AV50" s="83">
        <f>AV47 * '20MGD 60 Effect Levellized VTE'!$B$24</f>
        <v>67408200</v>
      </c>
      <c r="AW50" s="83">
        <f>AW47 * '20MGD 60 Effect Levellized VTE'!$B$24</f>
        <v>67408200</v>
      </c>
      <c r="AX50" s="83">
        <f>AX47 * '20MGD 60 Effect Levellized VTE'!$B$24</f>
        <v>62914320</v>
      </c>
      <c r="AY50" s="83">
        <f>AY47 * '20MGD 60 Effect Levellized VTE'!$B$24</f>
        <v>58420440</v>
      </c>
      <c r="AZ50" s="83">
        <f>AZ47 * '20MGD 60 Effect Levellized VTE'!$B$24</f>
        <v>53926560</v>
      </c>
      <c r="BA50" s="83">
        <f>BA47 * '20MGD 60 Effect Levellized VTE'!$B$24</f>
        <v>49432680</v>
      </c>
      <c r="BB50" s="83">
        <f>BB47 * '20MGD 60 Effect Levellized VTE'!$B$24</f>
        <v>44938800</v>
      </c>
      <c r="BC50" s="83">
        <f>BC47 * '20MGD 60 Effect Levellized VTE'!$B$24</f>
        <v>40444920</v>
      </c>
      <c r="BD50" s="83">
        <f>BD47 * '20MGD 60 Effect Levellized VTE'!$B$24</f>
        <v>35951040</v>
      </c>
      <c r="BE50" s="83">
        <f>BE47 * '20MGD 60 Effect Levellized VTE'!$B$24</f>
        <v>31457160</v>
      </c>
      <c r="BF50" s="83">
        <f>BF47 * '20MGD 60 Effect Levellized VTE'!$B$24</f>
        <v>26963280</v>
      </c>
      <c r="BG50" s="83">
        <f>BG47 * '20MGD 60 Effect Levellized VTE'!$B$24</f>
        <v>22469400</v>
      </c>
      <c r="BH50" s="83">
        <f>BH47 * '20MGD 60 Effect Levellized VTE'!$B$24</f>
        <v>17975520</v>
      </c>
      <c r="BI50" s="83"/>
    </row>
    <row r="51" spans="1:61" s="119" customFormat="1" x14ac:dyDescent="0.2">
      <c r="A51" s="119" t="s">
        <v>789</v>
      </c>
      <c r="B51" s="159"/>
      <c r="C51" s="120">
        <f xml:space="preserve"> C47 * '20MGD 60 Effect Levellized VTE'!$B$39</f>
        <v>0</v>
      </c>
      <c r="D51" s="120">
        <f>D47 * '20MGD 60 Effect Levellized VTE'!$B$39</f>
        <v>0</v>
      </c>
      <c r="E51" s="120">
        <f>E47 * '20MGD 60 Effect Levellized VTE'!$B$39</f>
        <v>0</v>
      </c>
      <c r="F51" s="120">
        <f>F47 * '20MGD 60 Effect Levellized VTE'!$B$39</f>
        <v>21282.577831507697</v>
      </c>
      <c r="G51" s="120">
        <f>G47 * '20MGD 60 Effect Levellized VTE'!$B$39</f>
        <v>42565.155663015394</v>
      </c>
      <c r="H51" s="120">
        <f>H47 * '20MGD 60 Effect Levellized VTE'!$B$39</f>
        <v>63847.73349452309</v>
      </c>
      <c r="I51" s="120">
        <f>I47 * '20MGD 60 Effect Levellized VTE'!$B$39</f>
        <v>85130.311326030787</v>
      </c>
      <c r="J51" s="120">
        <f>J47 * '20MGD 60 Effect Levellized VTE'!$B$39</f>
        <v>106412.88915753848</v>
      </c>
      <c r="K51" s="120">
        <f>K47 * '20MGD 60 Effect Levellized VTE'!$B$39</f>
        <v>127695.46698904618</v>
      </c>
      <c r="L51" s="120">
        <f>L47 * '20MGD 60 Effect Levellized VTE'!$B$39</f>
        <v>148978.04482055389</v>
      </c>
      <c r="M51" s="120">
        <f>M47 * '20MGD 60 Effect Levellized VTE'!$B$39</f>
        <v>170260.62265206157</v>
      </c>
      <c r="N51" s="120">
        <f>N47 * '20MGD 60 Effect Levellized VTE'!$B$39</f>
        <v>191543.20048356926</v>
      </c>
      <c r="O51" s="120">
        <f>O47 * '20MGD 60 Effect Levellized VTE'!$B$39</f>
        <v>212825.77831507695</v>
      </c>
      <c r="P51" s="120">
        <f>P47 * '20MGD 60 Effect Levellized VTE'!$B$39</f>
        <v>234108.35614658467</v>
      </c>
      <c r="Q51" s="120">
        <f>Q47 * '20MGD 60 Effect Levellized VTE'!$B$39</f>
        <v>255390.93397809236</v>
      </c>
      <c r="R51" s="120">
        <f>R47 * '20MGD 60 Effect Levellized VTE'!$B$39</f>
        <v>276673.51180960005</v>
      </c>
      <c r="S51" s="120">
        <f>S47 * '20MGD 60 Effect Levellized VTE'!$B$39</f>
        <v>297956.08964110777</v>
      </c>
      <c r="T51" s="120">
        <f>T47 * '20MGD 60 Effect Levellized VTE'!$B$39</f>
        <v>319238.66747261543</v>
      </c>
      <c r="U51" s="120">
        <f>U47 * '20MGD 60 Effect Levellized VTE'!$B$39</f>
        <v>319238.66747261543</v>
      </c>
      <c r="V51" s="120">
        <f>V47 * '20MGD 60 Effect Levellized VTE'!$B$39</f>
        <v>319238.66747261543</v>
      </c>
      <c r="W51" s="120">
        <f>W47 * '20MGD 60 Effect Levellized VTE'!$B$39</f>
        <v>319238.66747261543</v>
      </c>
      <c r="X51" s="120">
        <f>X47 * '20MGD 60 Effect Levellized VTE'!$B$39</f>
        <v>319238.66747261543</v>
      </c>
      <c r="Y51" s="120">
        <f>Y47 * '20MGD 60 Effect Levellized VTE'!$B$39</f>
        <v>319238.66747261543</v>
      </c>
      <c r="Z51" s="120">
        <f>Z47 * '20MGD 60 Effect Levellized VTE'!$B$39</f>
        <v>319238.66747261543</v>
      </c>
      <c r="AA51" s="120">
        <f>AA47 * '20MGD 60 Effect Levellized VTE'!$B$39</f>
        <v>319238.66747261543</v>
      </c>
      <c r="AB51" s="120">
        <f>AB47 * '20MGD 60 Effect Levellized VTE'!$B$39</f>
        <v>319238.66747261543</v>
      </c>
      <c r="AC51" s="120">
        <f>AC47 * '20MGD 60 Effect Levellized VTE'!$B$39</f>
        <v>319238.66747261543</v>
      </c>
      <c r="AD51" s="120">
        <f>AD47 * '20MGD 60 Effect Levellized VTE'!$B$39</f>
        <v>319238.66747261543</v>
      </c>
      <c r="AE51" s="120">
        <f>AE47 * '20MGD 60 Effect Levellized VTE'!$B$39</f>
        <v>319238.66747261543</v>
      </c>
      <c r="AF51" s="120">
        <f>AF47 * '20MGD 60 Effect Levellized VTE'!$B$39</f>
        <v>319238.66747261543</v>
      </c>
      <c r="AG51" s="120">
        <f>AG47 * '20MGD 60 Effect Levellized VTE'!$B$39</f>
        <v>319238.66747261543</v>
      </c>
      <c r="AH51" s="120">
        <f>AH47 * '20MGD 60 Effect Levellized VTE'!$B$39</f>
        <v>319238.66747261543</v>
      </c>
      <c r="AI51" s="120">
        <f>AI47 * '20MGD 60 Effect Levellized VTE'!$B$39</f>
        <v>319238.66747261543</v>
      </c>
      <c r="AJ51" s="120">
        <f>AJ47 * '20MGD 60 Effect Levellized VTE'!$B$39</f>
        <v>319238.66747261543</v>
      </c>
      <c r="AK51" s="120">
        <f>AK47 * '20MGD 60 Effect Levellized VTE'!$B$39</f>
        <v>319238.66747261543</v>
      </c>
      <c r="AL51" s="120">
        <f>AL47 * '20MGD 60 Effect Levellized VTE'!$B$39</f>
        <v>319238.66747261543</v>
      </c>
      <c r="AM51" s="120">
        <f>AM47 * '20MGD 60 Effect Levellized VTE'!$B$39</f>
        <v>319238.66747261543</v>
      </c>
      <c r="AN51" s="120">
        <f>AN47 * '20MGD 60 Effect Levellized VTE'!$B$39</f>
        <v>319238.66747261543</v>
      </c>
      <c r="AO51" s="120">
        <f>AO47 * '20MGD 60 Effect Levellized VTE'!$B$39</f>
        <v>319238.66747261543</v>
      </c>
      <c r="AP51" s="120">
        <f>AP47 * '20MGD 60 Effect Levellized VTE'!$B$39</f>
        <v>319238.66747261543</v>
      </c>
      <c r="AQ51" s="120">
        <f>AQ47 * '20MGD 60 Effect Levellized VTE'!$B$39</f>
        <v>319238.66747261543</v>
      </c>
      <c r="AR51" s="120">
        <f>AR47 * '20MGD 60 Effect Levellized VTE'!$B$39</f>
        <v>319238.66747261543</v>
      </c>
      <c r="AS51" s="120">
        <f>AS47 * '20MGD 60 Effect Levellized VTE'!$B$39</f>
        <v>319238.66747261543</v>
      </c>
      <c r="AT51" s="120">
        <f>AT47 * '20MGD 60 Effect Levellized VTE'!$B$39</f>
        <v>319238.66747261543</v>
      </c>
      <c r="AU51" s="120">
        <f>AU47 * '20MGD 60 Effect Levellized VTE'!$B$39</f>
        <v>319238.66747261543</v>
      </c>
      <c r="AV51" s="120">
        <f>AV47 * '20MGD 60 Effect Levellized VTE'!$B$39</f>
        <v>319238.66747261543</v>
      </c>
      <c r="AW51" s="120">
        <f>AW47 * '20MGD 60 Effect Levellized VTE'!$B$39</f>
        <v>319238.66747261543</v>
      </c>
      <c r="AX51" s="120">
        <f>AX47 * '20MGD 60 Effect Levellized VTE'!$B$39</f>
        <v>297956.08964110777</v>
      </c>
      <c r="AY51" s="120">
        <f>AY47 * '20MGD 60 Effect Levellized VTE'!$B$39</f>
        <v>276673.51180960005</v>
      </c>
      <c r="AZ51" s="120">
        <f>AZ47 * '20MGD 60 Effect Levellized VTE'!$B$39</f>
        <v>255390.93397809236</v>
      </c>
      <c r="BA51" s="120">
        <f>BA47 * '20MGD 60 Effect Levellized VTE'!$B$39</f>
        <v>234108.35614658467</v>
      </c>
      <c r="BB51" s="120">
        <f>BB47 * '20MGD 60 Effect Levellized VTE'!$B$39</f>
        <v>212825.77831507695</v>
      </c>
      <c r="BC51" s="120">
        <f>BC47 * '20MGD 60 Effect Levellized VTE'!$B$39</f>
        <v>191543.20048356926</v>
      </c>
      <c r="BD51" s="120">
        <f>BD47 * '20MGD 60 Effect Levellized VTE'!$B$39</f>
        <v>170260.62265206157</v>
      </c>
      <c r="BE51" s="120">
        <f>BE47 * '20MGD 60 Effect Levellized VTE'!$B$39</f>
        <v>148978.04482055389</v>
      </c>
      <c r="BF51" s="120">
        <f>BF47 * '20MGD 60 Effect Levellized VTE'!$B$39</f>
        <v>127695.46698904618</v>
      </c>
      <c r="BG51" s="120">
        <f>BG47 * '20MGD 60 Effect Levellized VTE'!$B$39</f>
        <v>106412.88915753848</v>
      </c>
      <c r="BH51" s="120">
        <f>BH47 * '20MGD 60 Effect Levellized VTE'!$B$39</f>
        <v>85130.311326030787</v>
      </c>
      <c r="BI51" s="120"/>
    </row>
    <row r="52" spans="1:61" s="119" customFormat="1" x14ac:dyDescent="0.2">
      <c r="A52" s="119" t="s">
        <v>822</v>
      </c>
      <c r="B52" s="159"/>
      <c r="C52" s="120">
        <v>5</v>
      </c>
      <c r="D52" s="120">
        <v>5</v>
      </c>
      <c r="E52" s="120">
        <v>5</v>
      </c>
      <c r="F52" s="120">
        <v>5</v>
      </c>
      <c r="G52" s="120">
        <v>5</v>
      </c>
      <c r="H52" s="120">
        <v>4</v>
      </c>
      <c r="I52" s="120">
        <v>4</v>
      </c>
      <c r="J52" s="120">
        <v>4</v>
      </c>
      <c r="K52" s="120">
        <v>4</v>
      </c>
      <c r="L52" s="120">
        <v>3</v>
      </c>
      <c r="M52" s="120">
        <v>3</v>
      </c>
      <c r="N52" s="120">
        <v>3</v>
      </c>
      <c r="O52" s="120">
        <v>4</v>
      </c>
      <c r="P52" s="120">
        <v>4</v>
      </c>
      <c r="Q52" s="120">
        <v>4</v>
      </c>
      <c r="R52" s="120">
        <v>5</v>
      </c>
      <c r="S52" s="120">
        <v>5</v>
      </c>
      <c r="T52" s="120">
        <v>5</v>
      </c>
      <c r="U52" s="120">
        <v>5</v>
      </c>
      <c r="V52" s="120">
        <v>5</v>
      </c>
      <c r="W52" s="120">
        <v>5</v>
      </c>
      <c r="X52" s="120">
        <v>5</v>
      </c>
      <c r="Y52" s="120">
        <v>5</v>
      </c>
      <c r="Z52" s="120">
        <v>5</v>
      </c>
      <c r="AA52" s="120">
        <v>5</v>
      </c>
      <c r="AB52" s="120">
        <v>5</v>
      </c>
      <c r="AC52" s="120">
        <v>5</v>
      </c>
      <c r="AD52" s="120">
        <v>5</v>
      </c>
      <c r="AE52" s="120">
        <v>5</v>
      </c>
      <c r="AF52" s="120">
        <v>5</v>
      </c>
      <c r="AG52" s="120">
        <v>6</v>
      </c>
      <c r="AH52" s="120">
        <v>6</v>
      </c>
      <c r="AI52" s="120">
        <v>6</v>
      </c>
      <c r="AJ52" s="120">
        <v>6</v>
      </c>
      <c r="AK52" s="120">
        <v>6</v>
      </c>
      <c r="AL52" s="120">
        <v>6</v>
      </c>
      <c r="AM52" s="120">
        <v>6</v>
      </c>
      <c r="AN52" s="120">
        <v>6</v>
      </c>
      <c r="AO52" s="120">
        <v>6</v>
      </c>
      <c r="AP52" s="120">
        <v>6</v>
      </c>
      <c r="AQ52" s="120">
        <v>6</v>
      </c>
      <c r="AR52" s="120">
        <v>6</v>
      </c>
      <c r="AS52" s="120">
        <v>6</v>
      </c>
      <c r="AT52" s="120">
        <v>6</v>
      </c>
      <c r="AU52" s="120">
        <v>6</v>
      </c>
      <c r="AV52" s="120">
        <v>6</v>
      </c>
      <c r="AW52" s="120">
        <v>6</v>
      </c>
      <c r="AX52" s="120">
        <v>6</v>
      </c>
      <c r="AY52" s="120">
        <v>6</v>
      </c>
      <c r="AZ52" s="120">
        <v>6</v>
      </c>
      <c r="BA52" s="120">
        <v>6</v>
      </c>
      <c r="BB52" s="120">
        <v>6</v>
      </c>
      <c r="BC52" s="120">
        <v>6</v>
      </c>
      <c r="BD52" s="120">
        <v>6</v>
      </c>
      <c r="BE52" s="120">
        <v>6</v>
      </c>
      <c r="BF52" s="120">
        <v>6</v>
      </c>
      <c r="BG52" s="120">
        <v>6</v>
      </c>
      <c r="BH52" s="120">
        <v>6</v>
      </c>
      <c r="BI52" s="120"/>
    </row>
    <row r="53" spans="1:61" s="124" customFormat="1" x14ac:dyDescent="0.2">
      <c r="A53" s="124" t="s">
        <v>796</v>
      </c>
      <c r="B53" s="196"/>
      <c r="C53" s="195">
        <f xml:space="preserve"> C51 / C52</f>
        <v>0</v>
      </c>
      <c r="D53" s="195">
        <f t="shared" ref="D53:BH53" si="21" xml:space="preserve"> D51 / D52</f>
        <v>0</v>
      </c>
      <c r="E53" s="195">
        <f t="shared" si="21"/>
        <v>0</v>
      </c>
      <c r="F53" s="195">
        <f t="shared" si="21"/>
        <v>4256.5155663015394</v>
      </c>
      <c r="G53" s="195">
        <f t="shared" si="21"/>
        <v>8513.0311326030787</v>
      </c>
      <c r="H53" s="195">
        <f t="shared" si="21"/>
        <v>15961.933373630773</v>
      </c>
      <c r="I53" s="195">
        <f t="shared" si="21"/>
        <v>21282.577831507697</v>
      </c>
      <c r="J53" s="195">
        <f t="shared" si="21"/>
        <v>26603.222289384619</v>
      </c>
      <c r="K53" s="195">
        <f t="shared" si="21"/>
        <v>31923.866747261545</v>
      </c>
      <c r="L53" s="195">
        <f t="shared" si="21"/>
        <v>49659.348273517964</v>
      </c>
      <c r="M53" s="195">
        <f t="shared" si="21"/>
        <v>56753.540884020527</v>
      </c>
      <c r="N53" s="195">
        <f t="shared" si="21"/>
        <v>63847.73349452309</v>
      </c>
      <c r="O53" s="195">
        <f t="shared" si="21"/>
        <v>53206.444578769238</v>
      </c>
      <c r="P53" s="195">
        <f t="shared" si="21"/>
        <v>58527.089036646168</v>
      </c>
      <c r="Q53" s="195">
        <f t="shared" si="21"/>
        <v>63847.73349452309</v>
      </c>
      <c r="R53" s="195">
        <f t="shared" si="21"/>
        <v>55334.702361920012</v>
      </c>
      <c r="S53" s="195">
        <f t="shared" si="21"/>
        <v>59591.217928221551</v>
      </c>
      <c r="T53" s="195">
        <f t="shared" si="21"/>
        <v>63847.733494523083</v>
      </c>
      <c r="U53" s="195">
        <f t="shared" si="21"/>
        <v>63847.733494523083</v>
      </c>
      <c r="V53" s="195">
        <f t="shared" si="21"/>
        <v>63847.733494523083</v>
      </c>
      <c r="W53" s="195">
        <f t="shared" si="21"/>
        <v>63847.733494523083</v>
      </c>
      <c r="X53" s="195">
        <f t="shared" si="21"/>
        <v>63847.733494523083</v>
      </c>
      <c r="Y53" s="195">
        <f t="shared" si="21"/>
        <v>63847.733494523083</v>
      </c>
      <c r="Z53" s="195">
        <f t="shared" si="21"/>
        <v>63847.733494523083</v>
      </c>
      <c r="AA53" s="195">
        <f t="shared" si="21"/>
        <v>63847.733494523083</v>
      </c>
      <c r="AB53" s="195">
        <f t="shared" si="21"/>
        <v>63847.733494523083</v>
      </c>
      <c r="AC53" s="195">
        <f t="shared" si="21"/>
        <v>63847.733494523083</v>
      </c>
      <c r="AD53" s="195">
        <f t="shared" si="21"/>
        <v>63847.733494523083</v>
      </c>
      <c r="AE53" s="195">
        <f t="shared" si="21"/>
        <v>63847.733494523083</v>
      </c>
      <c r="AF53" s="195">
        <f t="shared" si="21"/>
        <v>63847.733494523083</v>
      </c>
      <c r="AG53" s="195">
        <f t="shared" si="21"/>
        <v>53206.444578769238</v>
      </c>
      <c r="AH53" s="195">
        <f t="shared" si="21"/>
        <v>53206.444578769238</v>
      </c>
      <c r="AI53" s="195">
        <f t="shared" si="21"/>
        <v>53206.444578769238</v>
      </c>
      <c r="AJ53" s="195">
        <f t="shared" si="21"/>
        <v>53206.444578769238</v>
      </c>
      <c r="AK53" s="195">
        <f t="shared" si="21"/>
        <v>53206.444578769238</v>
      </c>
      <c r="AL53" s="195">
        <f t="shared" si="21"/>
        <v>53206.444578769238</v>
      </c>
      <c r="AM53" s="195">
        <f t="shared" si="21"/>
        <v>53206.444578769238</v>
      </c>
      <c r="AN53" s="195">
        <f t="shared" si="21"/>
        <v>53206.444578769238</v>
      </c>
      <c r="AO53" s="195">
        <f t="shared" si="21"/>
        <v>53206.444578769238</v>
      </c>
      <c r="AP53" s="195">
        <f t="shared" si="21"/>
        <v>53206.444578769238</v>
      </c>
      <c r="AQ53" s="195">
        <f t="shared" si="21"/>
        <v>53206.444578769238</v>
      </c>
      <c r="AR53" s="195">
        <f t="shared" si="21"/>
        <v>53206.444578769238</v>
      </c>
      <c r="AS53" s="195">
        <f t="shared" si="21"/>
        <v>53206.444578769238</v>
      </c>
      <c r="AT53" s="195">
        <f t="shared" si="21"/>
        <v>53206.444578769238</v>
      </c>
      <c r="AU53" s="195">
        <f t="shared" si="21"/>
        <v>53206.444578769238</v>
      </c>
      <c r="AV53" s="195">
        <f t="shared" si="21"/>
        <v>53206.444578769238</v>
      </c>
      <c r="AW53" s="195">
        <f t="shared" si="21"/>
        <v>53206.444578769238</v>
      </c>
      <c r="AX53" s="195">
        <f t="shared" si="21"/>
        <v>49659.348273517964</v>
      </c>
      <c r="AY53" s="195">
        <f t="shared" si="21"/>
        <v>46112.251968266675</v>
      </c>
      <c r="AZ53" s="195">
        <f t="shared" si="21"/>
        <v>42565.155663015394</v>
      </c>
      <c r="BA53" s="195">
        <f t="shared" si="21"/>
        <v>39018.059357764112</v>
      </c>
      <c r="BB53" s="195">
        <f t="shared" si="21"/>
        <v>35470.963052512823</v>
      </c>
      <c r="BC53" s="195">
        <f t="shared" si="21"/>
        <v>31923.866747261545</v>
      </c>
      <c r="BD53" s="195">
        <f t="shared" si="21"/>
        <v>28376.770442010264</v>
      </c>
      <c r="BE53" s="195">
        <f t="shared" si="21"/>
        <v>24829.674136758982</v>
      </c>
      <c r="BF53" s="195">
        <f t="shared" si="21"/>
        <v>21282.577831507697</v>
      </c>
      <c r="BG53" s="195">
        <f t="shared" si="21"/>
        <v>17735.481526256412</v>
      </c>
      <c r="BH53" s="195">
        <f t="shared" si="21"/>
        <v>14188.385221005132</v>
      </c>
      <c r="BI53" s="195"/>
    </row>
    <row r="54" spans="1:61" s="124" customFormat="1" x14ac:dyDescent="0.2">
      <c r="A54" s="124" t="s">
        <v>799</v>
      </c>
      <c r="B54" s="196"/>
      <c r="C54" s="195">
        <f xml:space="preserve"> C53 *  1233.48 * 0.2607</f>
        <v>0</v>
      </c>
      <c r="D54" s="195">
        <f t="shared" ref="D54:BH54" si="22" xml:space="preserve"> D53 *  1233.48 * 0.2607</f>
        <v>0</v>
      </c>
      <c r="E54" s="195">
        <f t="shared" si="22"/>
        <v>0</v>
      </c>
      <c r="F54" s="195">
        <f t="shared" si="22"/>
        <v>1368760.202162127</v>
      </c>
      <c r="G54" s="195">
        <f t="shared" si="22"/>
        <v>2737520.404324254</v>
      </c>
      <c r="H54" s="195">
        <f t="shared" si="22"/>
        <v>5132850.758107977</v>
      </c>
      <c r="I54" s="195">
        <f t="shared" si="22"/>
        <v>6843801.0108106351</v>
      </c>
      <c r="J54" s="195">
        <f t="shared" si="22"/>
        <v>8554751.2635132931</v>
      </c>
      <c r="K54" s="195">
        <f t="shared" si="22"/>
        <v>10265701.516215954</v>
      </c>
      <c r="L54" s="195">
        <f t="shared" si="22"/>
        <v>15968869.025224816</v>
      </c>
      <c r="M54" s="195">
        <f t="shared" si="22"/>
        <v>18250136.02882836</v>
      </c>
      <c r="N54" s="195">
        <f t="shared" si="22"/>
        <v>20531403.032431908</v>
      </c>
      <c r="O54" s="195">
        <f t="shared" si="22"/>
        <v>17109502.527026586</v>
      </c>
      <c r="P54" s="195">
        <f t="shared" si="22"/>
        <v>18820452.779729247</v>
      </c>
      <c r="Q54" s="195">
        <f t="shared" si="22"/>
        <v>20531403.032431908</v>
      </c>
      <c r="R54" s="195">
        <f t="shared" si="22"/>
        <v>17793882.628107652</v>
      </c>
      <c r="S54" s="195">
        <f t="shared" si="22"/>
        <v>19162642.83026978</v>
      </c>
      <c r="T54" s="195">
        <f t="shared" si="22"/>
        <v>20531403.032431904</v>
      </c>
      <c r="U54" s="195">
        <f t="shared" si="22"/>
        <v>20531403.032431904</v>
      </c>
      <c r="V54" s="195">
        <f t="shared" si="22"/>
        <v>20531403.032431904</v>
      </c>
      <c r="W54" s="195">
        <f t="shared" si="22"/>
        <v>20531403.032431904</v>
      </c>
      <c r="X54" s="195">
        <f t="shared" si="22"/>
        <v>20531403.032431904</v>
      </c>
      <c r="Y54" s="195">
        <f t="shared" si="22"/>
        <v>20531403.032431904</v>
      </c>
      <c r="Z54" s="195">
        <f t="shared" si="22"/>
        <v>20531403.032431904</v>
      </c>
      <c r="AA54" s="195">
        <f t="shared" si="22"/>
        <v>20531403.032431904</v>
      </c>
      <c r="AB54" s="195">
        <f t="shared" si="22"/>
        <v>20531403.032431904</v>
      </c>
      <c r="AC54" s="195">
        <f t="shared" si="22"/>
        <v>20531403.032431904</v>
      </c>
      <c r="AD54" s="195">
        <f t="shared" si="22"/>
        <v>20531403.032431904</v>
      </c>
      <c r="AE54" s="195">
        <f t="shared" si="22"/>
        <v>20531403.032431904</v>
      </c>
      <c r="AF54" s="195">
        <f t="shared" si="22"/>
        <v>20531403.032431904</v>
      </c>
      <c r="AG54" s="195">
        <f t="shared" si="22"/>
        <v>17109502.527026586</v>
      </c>
      <c r="AH54" s="195">
        <f t="shared" si="22"/>
        <v>17109502.527026586</v>
      </c>
      <c r="AI54" s="195">
        <f t="shared" si="22"/>
        <v>17109502.527026586</v>
      </c>
      <c r="AJ54" s="195">
        <f t="shared" si="22"/>
        <v>17109502.527026586</v>
      </c>
      <c r="AK54" s="195">
        <f t="shared" si="22"/>
        <v>17109502.527026586</v>
      </c>
      <c r="AL54" s="195">
        <f t="shared" si="22"/>
        <v>17109502.527026586</v>
      </c>
      <c r="AM54" s="195">
        <f t="shared" si="22"/>
        <v>17109502.527026586</v>
      </c>
      <c r="AN54" s="195">
        <f t="shared" si="22"/>
        <v>17109502.527026586</v>
      </c>
      <c r="AO54" s="195">
        <f t="shared" si="22"/>
        <v>17109502.527026586</v>
      </c>
      <c r="AP54" s="195">
        <f t="shared" si="22"/>
        <v>17109502.527026586</v>
      </c>
      <c r="AQ54" s="195">
        <f t="shared" si="22"/>
        <v>17109502.527026586</v>
      </c>
      <c r="AR54" s="195">
        <f t="shared" si="22"/>
        <v>17109502.527026586</v>
      </c>
      <c r="AS54" s="195">
        <f t="shared" si="22"/>
        <v>17109502.527026586</v>
      </c>
      <c r="AT54" s="195">
        <f t="shared" si="22"/>
        <v>17109502.527026586</v>
      </c>
      <c r="AU54" s="195">
        <f t="shared" si="22"/>
        <v>17109502.527026586</v>
      </c>
      <c r="AV54" s="195">
        <f t="shared" si="22"/>
        <v>17109502.527026586</v>
      </c>
      <c r="AW54" s="195">
        <f t="shared" si="22"/>
        <v>17109502.527026586</v>
      </c>
      <c r="AX54" s="195">
        <f t="shared" si="22"/>
        <v>15968869.025224816</v>
      </c>
      <c r="AY54" s="195">
        <f t="shared" si="22"/>
        <v>14828235.523423042</v>
      </c>
      <c r="AZ54" s="195">
        <f t="shared" si="22"/>
        <v>13687602.02162127</v>
      </c>
      <c r="BA54" s="195">
        <f t="shared" si="22"/>
        <v>12546968.519819498</v>
      </c>
      <c r="BB54" s="195">
        <f t="shared" si="22"/>
        <v>11406335.018017724</v>
      </c>
      <c r="BC54" s="195">
        <f t="shared" si="22"/>
        <v>10265701.516215954</v>
      </c>
      <c r="BD54" s="195">
        <f t="shared" si="22"/>
        <v>9125068.0144141801</v>
      </c>
      <c r="BE54" s="195">
        <f t="shared" si="22"/>
        <v>7984434.512612408</v>
      </c>
      <c r="BF54" s="195">
        <f t="shared" si="22"/>
        <v>6843801.0108106351</v>
      </c>
      <c r="BG54" s="195">
        <f t="shared" si="22"/>
        <v>5703167.5090088621</v>
      </c>
      <c r="BH54" s="195">
        <f t="shared" si="22"/>
        <v>4562534.00720709</v>
      </c>
      <c r="BI54" s="195"/>
    </row>
    <row r="55" spans="1:61" s="113" customFormat="1" x14ac:dyDescent="0.2">
      <c r="A55" s="113" t="s">
        <v>814</v>
      </c>
      <c r="B55" s="164"/>
      <c r="C55" s="205">
        <f xml:space="preserve"> C51 + C53</f>
        <v>0</v>
      </c>
      <c r="D55" s="205">
        <f t="shared" ref="D55:BH55" si="23" xml:space="preserve"> D51 + D53</f>
        <v>0</v>
      </c>
      <c r="E55" s="205">
        <f t="shared" si="23"/>
        <v>0</v>
      </c>
      <c r="F55" s="205">
        <f t="shared" si="23"/>
        <v>25539.093397809236</v>
      </c>
      <c r="G55" s="205">
        <f t="shared" si="23"/>
        <v>51078.186795618472</v>
      </c>
      <c r="H55" s="205">
        <f t="shared" si="23"/>
        <v>79809.666868153858</v>
      </c>
      <c r="I55" s="205">
        <f t="shared" si="23"/>
        <v>106412.88915753848</v>
      </c>
      <c r="J55" s="205">
        <f t="shared" si="23"/>
        <v>133016.11144692311</v>
      </c>
      <c r="K55" s="205">
        <f t="shared" si="23"/>
        <v>159619.33373630772</v>
      </c>
      <c r="L55" s="205">
        <f t="shared" si="23"/>
        <v>198637.39309407186</v>
      </c>
      <c r="M55" s="205">
        <f t="shared" si="23"/>
        <v>227014.16353608211</v>
      </c>
      <c r="N55" s="205">
        <f t="shared" si="23"/>
        <v>255390.93397809236</v>
      </c>
      <c r="O55" s="205">
        <f t="shared" si="23"/>
        <v>266032.22289384622</v>
      </c>
      <c r="P55" s="205">
        <f t="shared" si="23"/>
        <v>292635.44518323086</v>
      </c>
      <c r="Q55" s="205">
        <f t="shared" si="23"/>
        <v>319238.66747261543</v>
      </c>
      <c r="R55" s="205">
        <f t="shared" si="23"/>
        <v>332008.21417152009</v>
      </c>
      <c r="S55" s="205">
        <f t="shared" si="23"/>
        <v>357547.30756932934</v>
      </c>
      <c r="T55" s="205">
        <f t="shared" si="23"/>
        <v>383086.40096713853</v>
      </c>
      <c r="U55" s="205">
        <f t="shared" si="23"/>
        <v>383086.40096713853</v>
      </c>
      <c r="V55" s="205">
        <f t="shared" si="23"/>
        <v>383086.40096713853</v>
      </c>
      <c r="W55" s="205">
        <f t="shared" si="23"/>
        <v>383086.40096713853</v>
      </c>
      <c r="X55" s="205">
        <f t="shared" si="23"/>
        <v>383086.40096713853</v>
      </c>
      <c r="Y55" s="205">
        <f t="shared" si="23"/>
        <v>383086.40096713853</v>
      </c>
      <c r="Z55" s="205">
        <f t="shared" si="23"/>
        <v>383086.40096713853</v>
      </c>
      <c r="AA55" s="205">
        <f t="shared" si="23"/>
        <v>383086.40096713853</v>
      </c>
      <c r="AB55" s="205">
        <f t="shared" si="23"/>
        <v>383086.40096713853</v>
      </c>
      <c r="AC55" s="205">
        <f t="shared" si="23"/>
        <v>383086.40096713853</v>
      </c>
      <c r="AD55" s="205">
        <f t="shared" si="23"/>
        <v>383086.40096713853</v>
      </c>
      <c r="AE55" s="205">
        <f t="shared" si="23"/>
        <v>383086.40096713853</v>
      </c>
      <c r="AF55" s="205">
        <f t="shared" si="23"/>
        <v>383086.40096713853</v>
      </c>
      <c r="AG55" s="205">
        <f t="shared" si="23"/>
        <v>372445.11205138464</v>
      </c>
      <c r="AH55" s="205">
        <f t="shared" si="23"/>
        <v>372445.11205138464</v>
      </c>
      <c r="AI55" s="205">
        <f t="shared" si="23"/>
        <v>372445.11205138464</v>
      </c>
      <c r="AJ55" s="205">
        <f t="shared" si="23"/>
        <v>372445.11205138464</v>
      </c>
      <c r="AK55" s="205">
        <f t="shared" si="23"/>
        <v>372445.11205138464</v>
      </c>
      <c r="AL55" s="205">
        <f t="shared" si="23"/>
        <v>372445.11205138464</v>
      </c>
      <c r="AM55" s="205">
        <f t="shared" si="23"/>
        <v>372445.11205138464</v>
      </c>
      <c r="AN55" s="205">
        <f t="shared" si="23"/>
        <v>372445.11205138464</v>
      </c>
      <c r="AO55" s="205">
        <f t="shared" si="23"/>
        <v>372445.11205138464</v>
      </c>
      <c r="AP55" s="205">
        <f t="shared" si="23"/>
        <v>372445.11205138464</v>
      </c>
      <c r="AQ55" s="205">
        <f t="shared" si="23"/>
        <v>372445.11205138464</v>
      </c>
      <c r="AR55" s="205">
        <f t="shared" si="23"/>
        <v>372445.11205138464</v>
      </c>
      <c r="AS55" s="205">
        <f t="shared" si="23"/>
        <v>372445.11205138464</v>
      </c>
      <c r="AT55" s="205">
        <f t="shared" si="23"/>
        <v>372445.11205138464</v>
      </c>
      <c r="AU55" s="205">
        <f t="shared" si="23"/>
        <v>372445.11205138464</v>
      </c>
      <c r="AV55" s="205">
        <f t="shared" si="23"/>
        <v>372445.11205138464</v>
      </c>
      <c r="AW55" s="205">
        <f t="shared" si="23"/>
        <v>372445.11205138464</v>
      </c>
      <c r="AX55" s="205">
        <f t="shared" si="23"/>
        <v>347615.43791462574</v>
      </c>
      <c r="AY55" s="205">
        <f t="shared" si="23"/>
        <v>322785.76377786673</v>
      </c>
      <c r="AZ55" s="205">
        <f t="shared" si="23"/>
        <v>297956.08964110777</v>
      </c>
      <c r="BA55" s="205">
        <f t="shared" si="23"/>
        <v>273126.41550434881</v>
      </c>
      <c r="BB55" s="205">
        <f t="shared" si="23"/>
        <v>248296.74136758977</v>
      </c>
      <c r="BC55" s="205">
        <f t="shared" si="23"/>
        <v>223467.06723083081</v>
      </c>
      <c r="BD55" s="205">
        <f t="shared" si="23"/>
        <v>198637.39309407183</v>
      </c>
      <c r="BE55" s="205">
        <f t="shared" si="23"/>
        <v>173807.71895731287</v>
      </c>
      <c r="BF55" s="205">
        <f t="shared" si="23"/>
        <v>148978.04482055389</v>
      </c>
      <c r="BG55" s="205">
        <f t="shared" si="23"/>
        <v>124148.37068379488</v>
      </c>
      <c r="BH55" s="205">
        <f t="shared" si="23"/>
        <v>99318.696547035914</v>
      </c>
      <c r="BI55" s="114"/>
    </row>
    <row r="56" spans="1:61" s="119" customFormat="1" x14ac:dyDescent="0.2">
      <c r="A56" s="128" t="s">
        <v>793</v>
      </c>
      <c r="B56" s="162"/>
      <c r="C56" s="120">
        <v>0</v>
      </c>
      <c r="D56" s="120">
        <v>0</v>
      </c>
      <c r="E56" s="120">
        <v>0</v>
      </c>
      <c r="F56" s="120">
        <v>0</v>
      </c>
      <c r="G56" s="120">
        <v>0</v>
      </c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f t="shared" ref="M56:BH56" si="24">M51</f>
        <v>170260.62265206157</v>
      </c>
      <c r="N56" s="120">
        <f t="shared" si="24"/>
        <v>191543.20048356926</v>
      </c>
      <c r="O56" s="120">
        <f t="shared" si="24"/>
        <v>212825.77831507695</v>
      </c>
      <c r="P56" s="120">
        <f t="shared" si="24"/>
        <v>234108.35614658467</v>
      </c>
      <c r="Q56" s="120">
        <f t="shared" si="24"/>
        <v>255390.93397809236</v>
      </c>
      <c r="R56" s="120">
        <f t="shared" si="24"/>
        <v>276673.51180960005</v>
      </c>
      <c r="S56" s="120">
        <f t="shared" si="24"/>
        <v>297956.08964110777</v>
      </c>
      <c r="T56" s="120">
        <f t="shared" si="24"/>
        <v>319238.66747261543</v>
      </c>
      <c r="U56" s="120">
        <f t="shared" si="24"/>
        <v>319238.66747261543</v>
      </c>
      <c r="V56" s="120">
        <f t="shared" si="24"/>
        <v>319238.66747261543</v>
      </c>
      <c r="W56" s="120">
        <f t="shared" si="24"/>
        <v>319238.66747261543</v>
      </c>
      <c r="X56" s="120">
        <f t="shared" si="24"/>
        <v>319238.66747261543</v>
      </c>
      <c r="Y56" s="120">
        <f t="shared" si="24"/>
        <v>319238.66747261543</v>
      </c>
      <c r="Z56" s="120">
        <f t="shared" si="24"/>
        <v>319238.66747261543</v>
      </c>
      <c r="AA56" s="120">
        <f t="shared" si="24"/>
        <v>319238.66747261543</v>
      </c>
      <c r="AB56" s="120">
        <f t="shared" si="24"/>
        <v>319238.66747261543</v>
      </c>
      <c r="AC56" s="120">
        <f t="shared" si="24"/>
        <v>319238.66747261543</v>
      </c>
      <c r="AD56" s="120">
        <f t="shared" si="24"/>
        <v>319238.66747261543</v>
      </c>
      <c r="AE56" s="120">
        <f t="shared" si="24"/>
        <v>319238.66747261543</v>
      </c>
      <c r="AF56" s="120">
        <f t="shared" si="24"/>
        <v>319238.66747261543</v>
      </c>
      <c r="AG56" s="120">
        <f t="shared" si="24"/>
        <v>319238.66747261543</v>
      </c>
      <c r="AH56" s="120">
        <f t="shared" si="24"/>
        <v>319238.66747261543</v>
      </c>
      <c r="AI56" s="120">
        <f t="shared" si="24"/>
        <v>319238.66747261543</v>
      </c>
      <c r="AJ56" s="120">
        <f t="shared" si="24"/>
        <v>319238.66747261543</v>
      </c>
      <c r="AK56" s="120">
        <f t="shared" si="24"/>
        <v>319238.66747261543</v>
      </c>
      <c r="AL56" s="120">
        <f t="shared" si="24"/>
        <v>319238.66747261543</v>
      </c>
      <c r="AM56" s="120">
        <f t="shared" si="24"/>
        <v>319238.66747261543</v>
      </c>
      <c r="AN56" s="120">
        <f t="shared" si="24"/>
        <v>319238.66747261543</v>
      </c>
      <c r="AO56" s="120">
        <f t="shared" si="24"/>
        <v>319238.66747261543</v>
      </c>
      <c r="AP56" s="120">
        <f t="shared" si="24"/>
        <v>319238.66747261543</v>
      </c>
      <c r="AQ56" s="120">
        <f t="shared" si="24"/>
        <v>319238.66747261543</v>
      </c>
      <c r="AR56" s="120">
        <f t="shared" si="24"/>
        <v>319238.66747261543</v>
      </c>
      <c r="AS56" s="120">
        <f t="shared" si="24"/>
        <v>319238.66747261543</v>
      </c>
      <c r="AT56" s="120">
        <f t="shared" si="24"/>
        <v>319238.66747261543</v>
      </c>
      <c r="AU56" s="120">
        <f t="shared" si="24"/>
        <v>319238.66747261543</v>
      </c>
      <c r="AV56" s="120">
        <f t="shared" si="24"/>
        <v>319238.66747261543</v>
      </c>
      <c r="AW56" s="120">
        <f t="shared" si="24"/>
        <v>319238.66747261543</v>
      </c>
      <c r="AX56" s="120">
        <f t="shared" si="24"/>
        <v>297956.08964110777</v>
      </c>
      <c r="AY56" s="120">
        <f t="shared" si="24"/>
        <v>276673.51180960005</v>
      </c>
      <c r="AZ56" s="120">
        <f t="shared" si="24"/>
        <v>255390.93397809236</v>
      </c>
      <c r="BA56" s="120">
        <f t="shared" si="24"/>
        <v>234108.35614658467</v>
      </c>
      <c r="BB56" s="120">
        <f t="shared" si="24"/>
        <v>212825.77831507695</v>
      </c>
      <c r="BC56" s="120">
        <f t="shared" si="24"/>
        <v>191543.20048356926</v>
      </c>
      <c r="BD56" s="120">
        <f t="shared" si="24"/>
        <v>170260.62265206157</v>
      </c>
      <c r="BE56" s="120">
        <f t="shared" si="24"/>
        <v>148978.04482055389</v>
      </c>
      <c r="BF56" s="120">
        <f t="shared" si="24"/>
        <v>127695.46698904618</v>
      </c>
      <c r="BG56" s="120">
        <f t="shared" si="24"/>
        <v>106412.88915753848</v>
      </c>
      <c r="BH56" s="120">
        <f t="shared" si="24"/>
        <v>85130.311326030787</v>
      </c>
      <c r="BI56" s="120"/>
    </row>
    <row r="57" spans="1:61" s="119" customFormat="1" hidden="1" x14ac:dyDescent="0.2">
      <c r="A57" s="128" t="s">
        <v>795</v>
      </c>
      <c r="B57" s="192">
        <v>0</v>
      </c>
      <c r="C57" s="197">
        <v>600</v>
      </c>
      <c r="D57" s="125">
        <f t="shared" ref="D57:BH57" si="25" xml:space="preserve"> C57 + $B57</f>
        <v>600</v>
      </c>
      <c r="E57" s="125">
        <f t="shared" si="25"/>
        <v>600</v>
      </c>
      <c r="F57" s="125">
        <f t="shared" si="25"/>
        <v>600</v>
      </c>
      <c r="G57" s="125">
        <f t="shared" si="25"/>
        <v>600</v>
      </c>
      <c r="H57" s="125">
        <f t="shared" si="25"/>
        <v>600</v>
      </c>
      <c r="I57" s="125">
        <f t="shared" si="25"/>
        <v>600</v>
      </c>
      <c r="J57" s="125">
        <f t="shared" si="25"/>
        <v>600</v>
      </c>
      <c r="K57" s="125">
        <f t="shared" si="25"/>
        <v>600</v>
      </c>
      <c r="L57" s="125">
        <f t="shared" si="25"/>
        <v>600</v>
      </c>
      <c r="M57" s="125">
        <f t="shared" si="25"/>
        <v>600</v>
      </c>
      <c r="N57" s="125">
        <f t="shared" si="25"/>
        <v>600</v>
      </c>
      <c r="O57" s="125">
        <f t="shared" si="25"/>
        <v>600</v>
      </c>
      <c r="P57" s="125">
        <f t="shared" si="25"/>
        <v>600</v>
      </c>
      <c r="Q57" s="125">
        <f t="shared" si="25"/>
        <v>600</v>
      </c>
      <c r="R57" s="125">
        <f t="shared" si="25"/>
        <v>600</v>
      </c>
      <c r="S57" s="125">
        <f t="shared" si="25"/>
        <v>600</v>
      </c>
      <c r="T57" s="125">
        <f t="shared" si="25"/>
        <v>600</v>
      </c>
      <c r="U57" s="125">
        <f t="shared" si="25"/>
        <v>600</v>
      </c>
      <c r="V57" s="125">
        <f t="shared" si="25"/>
        <v>600</v>
      </c>
      <c r="W57" s="125">
        <f t="shared" si="25"/>
        <v>600</v>
      </c>
      <c r="X57" s="125">
        <f t="shared" si="25"/>
        <v>600</v>
      </c>
      <c r="Y57" s="125">
        <f t="shared" si="25"/>
        <v>600</v>
      </c>
      <c r="Z57" s="125">
        <f t="shared" si="25"/>
        <v>600</v>
      </c>
      <c r="AA57" s="125">
        <f t="shared" si="25"/>
        <v>600</v>
      </c>
      <c r="AB57" s="125">
        <f t="shared" si="25"/>
        <v>600</v>
      </c>
      <c r="AC57" s="125">
        <f t="shared" si="25"/>
        <v>600</v>
      </c>
      <c r="AD57" s="125">
        <f t="shared" si="25"/>
        <v>600</v>
      </c>
      <c r="AE57" s="125">
        <f t="shared" si="25"/>
        <v>600</v>
      </c>
      <c r="AF57" s="125">
        <f t="shared" si="25"/>
        <v>600</v>
      </c>
      <c r="AG57" s="125">
        <f t="shared" si="25"/>
        <v>600</v>
      </c>
      <c r="AH57" s="125">
        <f t="shared" si="25"/>
        <v>600</v>
      </c>
      <c r="AI57" s="125">
        <f t="shared" si="25"/>
        <v>600</v>
      </c>
      <c r="AJ57" s="125">
        <f t="shared" si="25"/>
        <v>600</v>
      </c>
      <c r="AK57" s="125">
        <f t="shared" si="25"/>
        <v>600</v>
      </c>
      <c r="AL57" s="125">
        <f t="shared" si="25"/>
        <v>600</v>
      </c>
      <c r="AM57" s="125">
        <f t="shared" si="25"/>
        <v>600</v>
      </c>
      <c r="AN57" s="125">
        <f t="shared" si="25"/>
        <v>600</v>
      </c>
      <c r="AO57" s="125">
        <f t="shared" si="25"/>
        <v>600</v>
      </c>
      <c r="AP57" s="125">
        <f t="shared" si="25"/>
        <v>600</v>
      </c>
      <c r="AQ57" s="125">
        <f t="shared" si="25"/>
        <v>600</v>
      </c>
      <c r="AR57" s="125">
        <f t="shared" si="25"/>
        <v>600</v>
      </c>
      <c r="AS57" s="125">
        <f t="shared" si="25"/>
        <v>600</v>
      </c>
      <c r="AT57" s="125">
        <f t="shared" si="25"/>
        <v>600</v>
      </c>
      <c r="AU57" s="125">
        <f t="shared" si="25"/>
        <v>600</v>
      </c>
      <c r="AV57" s="125">
        <f t="shared" si="25"/>
        <v>600</v>
      </c>
      <c r="AW57" s="125">
        <f t="shared" si="25"/>
        <v>600</v>
      </c>
      <c r="AX57" s="125">
        <f t="shared" si="25"/>
        <v>600</v>
      </c>
      <c r="AY57" s="125">
        <f t="shared" si="25"/>
        <v>600</v>
      </c>
      <c r="AZ57" s="125">
        <f t="shared" si="25"/>
        <v>600</v>
      </c>
      <c r="BA57" s="125">
        <f t="shared" si="25"/>
        <v>600</v>
      </c>
      <c r="BB57" s="125">
        <f t="shared" si="25"/>
        <v>600</v>
      </c>
      <c r="BC57" s="125">
        <f t="shared" si="25"/>
        <v>600</v>
      </c>
      <c r="BD57" s="125">
        <f t="shared" si="25"/>
        <v>600</v>
      </c>
      <c r="BE57" s="125">
        <f t="shared" si="25"/>
        <v>600</v>
      </c>
      <c r="BF57" s="125">
        <f t="shared" si="25"/>
        <v>600</v>
      </c>
      <c r="BG57" s="125">
        <f t="shared" si="25"/>
        <v>600</v>
      </c>
      <c r="BH57" s="125">
        <f t="shared" si="25"/>
        <v>600</v>
      </c>
      <c r="BI57" s="120"/>
    </row>
    <row r="58" spans="1:61" s="80" customFormat="1" hidden="1" x14ac:dyDescent="0.2">
      <c r="A58" s="193" t="s">
        <v>797</v>
      </c>
      <c r="B58" s="194"/>
      <c r="C58" s="126">
        <f xml:space="preserve"> C56 * C57</f>
        <v>0</v>
      </c>
      <c r="D58" s="126">
        <f t="shared" ref="D58:BH58" si="26" xml:space="preserve"> D56 * D57</f>
        <v>0</v>
      </c>
      <c r="E58" s="126">
        <f t="shared" si="26"/>
        <v>0</v>
      </c>
      <c r="F58" s="126">
        <f t="shared" si="26"/>
        <v>0</v>
      </c>
      <c r="G58" s="126">
        <f t="shared" si="26"/>
        <v>0</v>
      </c>
      <c r="H58" s="126">
        <f t="shared" si="26"/>
        <v>0</v>
      </c>
      <c r="I58" s="126">
        <f t="shared" si="26"/>
        <v>0</v>
      </c>
      <c r="J58" s="126">
        <f t="shared" si="26"/>
        <v>0</v>
      </c>
      <c r="K58" s="126">
        <f t="shared" si="26"/>
        <v>0</v>
      </c>
      <c r="L58" s="126">
        <f t="shared" si="26"/>
        <v>0</v>
      </c>
      <c r="M58" s="126">
        <f t="shared" si="26"/>
        <v>102156373.59123695</v>
      </c>
      <c r="N58" s="126">
        <f t="shared" si="26"/>
        <v>114925920.29014155</v>
      </c>
      <c r="O58" s="126">
        <f t="shared" si="26"/>
        <v>127695466.98904617</v>
      </c>
      <c r="P58" s="126">
        <f t="shared" si="26"/>
        <v>140465013.68795079</v>
      </c>
      <c r="Q58" s="126">
        <f t="shared" si="26"/>
        <v>153234560.38685542</v>
      </c>
      <c r="R58" s="126">
        <f t="shared" si="26"/>
        <v>166004107.08576003</v>
      </c>
      <c r="S58" s="126">
        <f t="shared" si="26"/>
        <v>178773653.78466466</v>
      </c>
      <c r="T58" s="126">
        <f t="shared" si="26"/>
        <v>191543200.48356926</v>
      </c>
      <c r="U58" s="126">
        <f t="shared" si="26"/>
        <v>191543200.48356926</v>
      </c>
      <c r="V58" s="126">
        <f t="shared" si="26"/>
        <v>191543200.48356926</v>
      </c>
      <c r="W58" s="126">
        <f t="shared" si="26"/>
        <v>191543200.48356926</v>
      </c>
      <c r="X58" s="126">
        <f t="shared" si="26"/>
        <v>191543200.48356926</v>
      </c>
      <c r="Y58" s="126">
        <f t="shared" si="26"/>
        <v>191543200.48356926</v>
      </c>
      <c r="Z58" s="126">
        <f t="shared" si="26"/>
        <v>191543200.48356926</v>
      </c>
      <c r="AA58" s="126">
        <f t="shared" si="26"/>
        <v>191543200.48356926</v>
      </c>
      <c r="AB58" s="126">
        <f t="shared" si="26"/>
        <v>191543200.48356926</v>
      </c>
      <c r="AC58" s="126">
        <f t="shared" si="26"/>
        <v>191543200.48356926</v>
      </c>
      <c r="AD58" s="126">
        <f t="shared" si="26"/>
        <v>191543200.48356926</v>
      </c>
      <c r="AE58" s="126">
        <f t="shared" si="26"/>
        <v>191543200.48356926</v>
      </c>
      <c r="AF58" s="126">
        <f t="shared" si="26"/>
        <v>191543200.48356926</v>
      </c>
      <c r="AG58" s="126">
        <f t="shared" si="26"/>
        <v>191543200.48356926</v>
      </c>
      <c r="AH58" s="126">
        <f t="shared" si="26"/>
        <v>191543200.48356926</v>
      </c>
      <c r="AI58" s="126">
        <f t="shared" si="26"/>
        <v>191543200.48356926</v>
      </c>
      <c r="AJ58" s="126">
        <f t="shared" si="26"/>
        <v>191543200.48356926</v>
      </c>
      <c r="AK58" s="126">
        <f t="shared" si="26"/>
        <v>191543200.48356926</v>
      </c>
      <c r="AL58" s="126">
        <f t="shared" si="26"/>
        <v>191543200.48356926</v>
      </c>
      <c r="AM58" s="126">
        <f t="shared" si="26"/>
        <v>191543200.48356926</v>
      </c>
      <c r="AN58" s="126">
        <f t="shared" si="26"/>
        <v>191543200.48356926</v>
      </c>
      <c r="AO58" s="126">
        <f t="shared" si="26"/>
        <v>191543200.48356926</v>
      </c>
      <c r="AP58" s="126">
        <f t="shared" si="26"/>
        <v>191543200.48356926</v>
      </c>
      <c r="AQ58" s="126">
        <f t="shared" si="26"/>
        <v>191543200.48356926</v>
      </c>
      <c r="AR58" s="126">
        <f t="shared" si="26"/>
        <v>191543200.48356926</v>
      </c>
      <c r="AS58" s="126">
        <f t="shared" si="26"/>
        <v>191543200.48356926</v>
      </c>
      <c r="AT58" s="126">
        <f t="shared" si="26"/>
        <v>191543200.48356926</v>
      </c>
      <c r="AU58" s="126">
        <f t="shared" si="26"/>
        <v>191543200.48356926</v>
      </c>
      <c r="AV58" s="126">
        <f t="shared" si="26"/>
        <v>191543200.48356926</v>
      </c>
      <c r="AW58" s="126">
        <f t="shared" si="26"/>
        <v>191543200.48356926</v>
      </c>
      <c r="AX58" s="126">
        <f t="shared" si="26"/>
        <v>178773653.78466466</v>
      </c>
      <c r="AY58" s="126">
        <f t="shared" si="26"/>
        <v>166004107.08576003</v>
      </c>
      <c r="AZ58" s="126">
        <f t="shared" si="26"/>
        <v>153234560.38685542</v>
      </c>
      <c r="BA58" s="126">
        <f t="shared" si="26"/>
        <v>140465013.68795079</v>
      </c>
      <c r="BB58" s="126">
        <f t="shared" si="26"/>
        <v>127695466.98904617</v>
      </c>
      <c r="BC58" s="126">
        <f t="shared" si="26"/>
        <v>114925920.29014155</v>
      </c>
      <c r="BD58" s="126">
        <f t="shared" si="26"/>
        <v>102156373.59123695</v>
      </c>
      <c r="BE58" s="126">
        <f t="shared" si="26"/>
        <v>89386826.89233233</v>
      </c>
      <c r="BF58" s="126">
        <f t="shared" si="26"/>
        <v>76617280.193427712</v>
      </c>
      <c r="BG58" s="126">
        <f t="shared" si="26"/>
        <v>63847733.494523086</v>
      </c>
      <c r="BH58" s="126">
        <f t="shared" si="26"/>
        <v>51078186.795618474</v>
      </c>
      <c r="BI58" s="106"/>
    </row>
    <row r="59" spans="1:61" x14ac:dyDescent="0.2">
      <c r="A59" s="6"/>
      <c r="B59" s="16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</row>
    <row r="60" spans="1:61" hidden="1" x14ac:dyDescent="0.2">
      <c r="A60" t="s">
        <v>20</v>
      </c>
      <c r="B60" s="31"/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</row>
    <row r="61" spans="1:61" hidden="1" x14ac:dyDescent="0.2">
      <c r="A61" t="s">
        <v>21</v>
      </c>
      <c r="B61" s="31"/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</row>
    <row r="62" spans="1:61" hidden="1" x14ac:dyDescent="0.2">
      <c r="A62" t="s">
        <v>22</v>
      </c>
      <c r="B62" s="31"/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</row>
    <row r="63" spans="1:61" s="82" customFormat="1" hidden="1" x14ac:dyDescent="0.2">
      <c r="A63" s="82" t="s">
        <v>23</v>
      </c>
      <c r="B63" s="156"/>
      <c r="C63" s="83">
        <f>C61*'IID Cost Basis 2013'!$F$79</f>
        <v>0</v>
      </c>
      <c r="D63" s="83">
        <f>D61*'IID Cost Basis 2013'!$F$79</f>
        <v>0</v>
      </c>
      <c r="E63" s="83">
        <f>E61*'IID Cost Basis 2013'!$F$79</f>
        <v>0</v>
      </c>
      <c r="F63" s="83">
        <f>F61*'IID Cost Basis 2013'!$F$79</f>
        <v>0</v>
      </c>
      <c r="G63" s="83">
        <f>G61*'IID Cost Basis 2013'!$F$79</f>
        <v>0</v>
      </c>
      <c r="H63" s="83">
        <f>H61*'IID Cost Basis 2013'!$F$79</f>
        <v>0</v>
      </c>
      <c r="I63" s="83">
        <f>I61*'IID Cost Basis 2013'!$F$79</f>
        <v>0</v>
      </c>
      <c r="J63" s="83">
        <f>J61*'IID Cost Basis 2013'!$F$79</f>
        <v>0</v>
      </c>
      <c r="K63" s="83">
        <f>K61*'IID Cost Basis 2013'!$F$79</f>
        <v>0</v>
      </c>
      <c r="L63" s="83">
        <f>L61*'IID Cost Basis 2013'!$F$79</f>
        <v>0</v>
      </c>
      <c r="M63" s="83">
        <f>M61*'IID Cost Basis 2013'!$F$79</f>
        <v>0</v>
      </c>
      <c r="N63" s="83">
        <f>N61*'IID Cost Basis 2013'!$F$79</f>
        <v>0</v>
      </c>
      <c r="O63" s="83">
        <f>O61*'IID Cost Basis 2013'!$F$79</f>
        <v>0</v>
      </c>
      <c r="P63" s="83">
        <f>P61*'IID Cost Basis 2013'!$F$79</f>
        <v>0</v>
      </c>
      <c r="Q63" s="83">
        <f>Q61*'IID Cost Basis 2013'!$F$79</f>
        <v>0</v>
      </c>
      <c r="R63" s="83">
        <f>R61*'IID Cost Basis 2013'!$F$79</f>
        <v>0</v>
      </c>
      <c r="S63" s="83">
        <f>S61*'IID Cost Basis 2013'!$F$79</f>
        <v>0</v>
      </c>
      <c r="T63" s="83">
        <f>T61*'IID Cost Basis 2013'!$F$79</f>
        <v>0</v>
      </c>
      <c r="U63" s="83">
        <f>U61*'IID Cost Basis 2013'!$F$79</f>
        <v>0</v>
      </c>
      <c r="V63" s="83">
        <f>V61*'IID Cost Basis 2013'!$F$79</f>
        <v>0</v>
      </c>
      <c r="W63" s="83">
        <f>W61*'IID Cost Basis 2013'!$F$79</f>
        <v>0</v>
      </c>
      <c r="X63" s="83">
        <f>X61*'IID Cost Basis 2013'!$F$79</f>
        <v>0</v>
      </c>
      <c r="Y63" s="83">
        <f>Y61*'IID Cost Basis 2013'!$F$79</f>
        <v>0</v>
      </c>
      <c r="Z63" s="83">
        <f>Z61*'IID Cost Basis 2013'!$F$79</f>
        <v>0</v>
      </c>
      <c r="AA63" s="83">
        <f>AA61*'IID Cost Basis 2013'!$F$79</f>
        <v>0</v>
      </c>
      <c r="AB63" s="83">
        <f>AB61*'IID Cost Basis 2013'!$F$79</f>
        <v>0</v>
      </c>
      <c r="AC63" s="83">
        <f>AC61*'IID Cost Basis 2013'!$F$79</f>
        <v>0</v>
      </c>
      <c r="AD63" s="83">
        <f>AD61*'IID Cost Basis 2013'!$F$79</f>
        <v>0</v>
      </c>
      <c r="AE63" s="83">
        <f>AE61*'IID Cost Basis 2013'!$F$79</f>
        <v>0</v>
      </c>
      <c r="AF63" s="83">
        <f>AF61*'IID Cost Basis 2013'!$F$79</f>
        <v>0</v>
      </c>
      <c r="AG63" s="83">
        <f>AG61*'IID Cost Basis 2013'!$F$79</f>
        <v>0</v>
      </c>
      <c r="AH63" s="83">
        <f>AH61*'IID Cost Basis 2013'!$F$79</f>
        <v>0</v>
      </c>
      <c r="AI63" s="83">
        <f>AI61*'IID Cost Basis 2013'!$F$79</f>
        <v>0</v>
      </c>
      <c r="AJ63" s="83">
        <f>AJ61*'IID Cost Basis 2013'!$F$79</f>
        <v>0</v>
      </c>
      <c r="AK63" s="83">
        <f>AK61*'IID Cost Basis 2013'!$F$79</f>
        <v>0</v>
      </c>
      <c r="AL63" s="83">
        <f>AL61*'IID Cost Basis 2013'!$F$79</f>
        <v>0</v>
      </c>
      <c r="AM63" s="83">
        <f>AM61*'IID Cost Basis 2013'!$F$79</f>
        <v>0</v>
      </c>
      <c r="AN63" s="83">
        <f>AN61*'IID Cost Basis 2013'!$F$79</f>
        <v>0</v>
      </c>
      <c r="AO63" s="83">
        <f>AO61*'IID Cost Basis 2013'!$F$79</f>
        <v>0</v>
      </c>
      <c r="AP63" s="83">
        <f>AP61*'IID Cost Basis 2013'!$F$79</f>
        <v>0</v>
      </c>
      <c r="AQ63" s="83">
        <f>AQ61*'IID Cost Basis 2013'!$F$79</f>
        <v>0</v>
      </c>
      <c r="AR63" s="83">
        <f>AR61*'IID Cost Basis 2013'!$F$79</f>
        <v>0</v>
      </c>
      <c r="AS63" s="83">
        <f>AS61*'IID Cost Basis 2013'!$F$79</f>
        <v>0</v>
      </c>
      <c r="AT63" s="83">
        <f>AT61*'IID Cost Basis 2013'!$F$79</f>
        <v>0</v>
      </c>
      <c r="AU63" s="83">
        <f>AU61*'IID Cost Basis 2013'!$F$79</f>
        <v>0</v>
      </c>
      <c r="AV63" s="83">
        <f>AV61*'IID Cost Basis 2013'!$F$79</f>
        <v>0</v>
      </c>
      <c r="AW63" s="83">
        <f>AW61*'IID Cost Basis 2013'!$F$79</f>
        <v>0</v>
      </c>
      <c r="AX63" s="83">
        <f>AX61*'IID Cost Basis 2013'!$F$79</f>
        <v>0</v>
      </c>
      <c r="AY63" s="83">
        <f>AY61*'IID Cost Basis 2013'!$F$79</f>
        <v>0</v>
      </c>
      <c r="AZ63" s="83">
        <f>AZ61*'IID Cost Basis 2013'!$F$79</f>
        <v>0</v>
      </c>
      <c r="BA63" s="83">
        <f>BA61*'IID Cost Basis 2013'!$F$79</f>
        <v>0</v>
      </c>
      <c r="BB63" s="83">
        <f>BB61*'IID Cost Basis 2013'!$F$79</f>
        <v>0</v>
      </c>
      <c r="BC63" s="83">
        <f>BC61*'IID Cost Basis 2013'!$F$79</f>
        <v>0</v>
      </c>
      <c r="BD63" s="83">
        <f>BD61*'IID Cost Basis 2013'!$F$79</f>
        <v>0</v>
      </c>
      <c r="BE63" s="83">
        <f>BE61*'IID Cost Basis 2013'!$F$79</f>
        <v>0</v>
      </c>
      <c r="BF63" s="83">
        <f>BF61*'IID Cost Basis 2013'!$F$79</f>
        <v>0</v>
      </c>
      <c r="BG63" s="83">
        <f>BG61*'IID Cost Basis 2013'!$F$79</f>
        <v>0</v>
      </c>
      <c r="BH63" s="83">
        <f>BH61*'IID Cost Basis 2013'!$F$79</f>
        <v>0</v>
      </c>
      <c r="BI63" s="83"/>
    </row>
    <row r="64" spans="1:61" s="82" customFormat="1" hidden="1" x14ac:dyDescent="0.2">
      <c r="A64" s="82" t="s">
        <v>24</v>
      </c>
      <c r="B64" s="156"/>
      <c r="C64" s="83">
        <f>C62*('IID Cost Basis 2013'!$F$96+'IID Cost Basis 2013'!$F$97)</f>
        <v>0</v>
      </c>
      <c r="D64" s="83">
        <f>D62*('IID Cost Basis 2013'!$F$96+'IID Cost Basis 2013'!$F$97)</f>
        <v>0</v>
      </c>
      <c r="E64" s="83">
        <f>E62*('IID Cost Basis 2013'!$F$96+'IID Cost Basis 2013'!$F$97)</f>
        <v>0</v>
      </c>
      <c r="F64" s="83">
        <f>F62*('IID Cost Basis 2013'!$F$96+'IID Cost Basis 2013'!$F$97)</f>
        <v>0</v>
      </c>
      <c r="G64" s="83">
        <f>G62*('IID Cost Basis 2013'!$F$96+'IID Cost Basis 2013'!$F$97)</f>
        <v>0</v>
      </c>
      <c r="H64" s="83">
        <f>H62*('IID Cost Basis 2013'!$F$96+'IID Cost Basis 2013'!$F$97)</f>
        <v>0</v>
      </c>
      <c r="I64" s="83">
        <f>I62*('IID Cost Basis 2013'!$F$96+'IID Cost Basis 2013'!$F$97)</f>
        <v>0</v>
      </c>
      <c r="J64" s="83">
        <f>J62*('IID Cost Basis 2013'!$F$96+'IID Cost Basis 2013'!$F$97)</f>
        <v>0</v>
      </c>
      <c r="K64" s="83">
        <f>K62*('IID Cost Basis 2013'!$F$96+'IID Cost Basis 2013'!$F$97)</f>
        <v>0</v>
      </c>
      <c r="L64" s="83">
        <f>L62*('IID Cost Basis 2013'!$F$96+'IID Cost Basis 2013'!$F$97)</f>
        <v>0</v>
      </c>
      <c r="M64" s="83">
        <f>M62*('IID Cost Basis 2013'!$F$96+'IID Cost Basis 2013'!$F$97)</f>
        <v>0</v>
      </c>
      <c r="N64" s="83">
        <f>N62*('IID Cost Basis 2013'!$F$96+'IID Cost Basis 2013'!$F$97)</f>
        <v>0</v>
      </c>
      <c r="O64" s="83">
        <f>O62*('IID Cost Basis 2013'!$F$96+'IID Cost Basis 2013'!$F$97)</f>
        <v>0</v>
      </c>
      <c r="P64" s="83">
        <f>P62*('IID Cost Basis 2013'!$F$96+'IID Cost Basis 2013'!$F$97)</f>
        <v>0</v>
      </c>
      <c r="Q64" s="83">
        <f>Q62*('IID Cost Basis 2013'!$F$96+'IID Cost Basis 2013'!$F$97)</f>
        <v>0</v>
      </c>
      <c r="R64" s="83">
        <f>R62*('IID Cost Basis 2013'!$F$96+'IID Cost Basis 2013'!$F$97)</f>
        <v>0</v>
      </c>
      <c r="S64" s="83">
        <f>S62*('IID Cost Basis 2013'!$F$96+'IID Cost Basis 2013'!$F$97)</f>
        <v>0</v>
      </c>
      <c r="T64" s="83">
        <f>T62*('IID Cost Basis 2013'!$F$96+'IID Cost Basis 2013'!$F$97)</f>
        <v>0</v>
      </c>
      <c r="U64" s="83">
        <f>U62*('IID Cost Basis 2013'!$F$96+'IID Cost Basis 2013'!$F$97)</f>
        <v>0</v>
      </c>
      <c r="V64" s="83">
        <f>V62*('IID Cost Basis 2013'!$F$96+'IID Cost Basis 2013'!$F$97)</f>
        <v>0</v>
      </c>
      <c r="W64" s="83">
        <f>W62*('IID Cost Basis 2013'!$F$96+'IID Cost Basis 2013'!$F$97)</f>
        <v>0</v>
      </c>
      <c r="X64" s="83">
        <f>X62*('IID Cost Basis 2013'!$F$96+'IID Cost Basis 2013'!$F$97)</f>
        <v>0</v>
      </c>
      <c r="Y64" s="83">
        <f>Y62*('IID Cost Basis 2013'!$F$96+'IID Cost Basis 2013'!$F$97)</f>
        <v>0</v>
      </c>
      <c r="Z64" s="83">
        <f>Z62*('IID Cost Basis 2013'!$F$96+'IID Cost Basis 2013'!$F$97)</f>
        <v>0</v>
      </c>
      <c r="AA64" s="83">
        <f>AA62*('IID Cost Basis 2013'!$F$96+'IID Cost Basis 2013'!$F$97)</f>
        <v>0</v>
      </c>
      <c r="AB64" s="83">
        <f>AB62*('IID Cost Basis 2013'!$F$96+'IID Cost Basis 2013'!$F$97)</f>
        <v>0</v>
      </c>
      <c r="AC64" s="83">
        <f>AC62*('IID Cost Basis 2013'!$F$96+'IID Cost Basis 2013'!$F$97)</f>
        <v>0</v>
      </c>
      <c r="AD64" s="83">
        <f>AD62*('IID Cost Basis 2013'!$F$96+'IID Cost Basis 2013'!$F$97)</f>
        <v>0</v>
      </c>
      <c r="AE64" s="83">
        <f>AE62*('IID Cost Basis 2013'!$F$96+'IID Cost Basis 2013'!$F$97)</f>
        <v>0</v>
      </c>
      <c r="AF64" s="83">
        <f>AF62*('IID Cost Basis 2013'!$F$96+'IID Cost Basis 2013'!$F$97)</f>
        <v>0</v>
      </c>
      <c r="AG64" s="83">
        <f>AG62*('IID Cost Basis 2013'!$F$96+'IID Cost Basis 2013'!$F$97)</f>
        <v>0</v>
      </c>
      <c r="AH64" s="83">
        <f>AH62*('IID Cost Basis 2013'!$F$96+'IID Cost Basis 2013'!$F$97)</f>
        <v>0</v>
      </c>
      <c r="AI64" s="83">
        <f>AI62*('IID Cost Basis 2013'!$F$96+'IID Cost Basis 2013'!$F$97)</f>
        <v>0</v>
      </c>
      <c r="AJ64" s="83">
        <f>AJ62*('IID Cost Basis 2013'!$F$96+'IID Cost Basis 2013'!$F$97)</f>
        <v>0</v>
      </c>
      <c r="AK64" s="83">
        <f>AK62*('IID Cost Basis 2013'!$F$96+'IID Cost Basis 2013'!$F$97)</f>
        <v>0</v>
      </c>
      <c r="AL64" s="83">
        <f>AL62*('IID Cost Basis 2013'!$F$96+'IID Cost Basis 2013'!$F$97)</f>
        <v>0</v>
      </c>
      <c r="AM64" s="83">
        <f>AM62*('IID Cost Basis 2013'!$F$96+'IID Cost Basis 2013'!$F$97)</f>
        <v>0</v>
      </c>
      <c r="AN64" s="83">
        <f>AN62*('IID Cost Basis 2013'!$F$96+'IID Cost Basis 2013'!$F$97)</f>
        <v>0</v>
      </c>
      <c r="AO64" s="83">
        <f>AO62*('IID Cost Basis 2013'!$F$96+'IID Cost Basis 2013'!$F$97)</f>
        <v>0</v>
      </c>
      <c r="AP64" s="83">
        <f>AP62*('IID Cost Basis 2013'!$F$96+'IID Cost Basis 2013'!$F$97)</f>
        <v>0</v>
      </c>
      <c r="AQ64" s="83">
        <f>AQ62*('IID Cost Basis 2013'!$F$96+'IID Cost Basis 2013'!$F$97)</f>
        <v>0</v>
      </c>
      <c r="AR64" s="83">
        <f>AR62*('IID Cost Basis 2013'!$F$96+'IID Cost Basis 2013'!$F$97)</f>
        <v>0</v>
      </c>
      <c r="AS64" s="83">
        <f>AS62*('IID Cost Basis 2013'!$F$96+'IID Cost Basis 2013'!$F$97)</f>
        <v>0</v>
      </c>
      <c r="AT64" s="83">
        <f>AT62*('IID Cost Basis 2013'!$F$96+'IID Cost Basis 2013'!$F$97)</f>
        <v>0</v>
      </c>
      <c r="AU64" s="83">
        <f>AU62*('IID Cost Basis 2013'!$F$96+'IID Cost Basis 2013'!$F$97)</f>
        <v>0</v>
      </c>
      <c r="AV64" s="83">
        <f>AV62*('IID Cost Basis 2013'!$F$96+'IID Cost Basis 2013'!$F$97)</f>
        <v>0</v>
      </c>
      <c r="AW64" s="83">
        <f>AW62*('IID Cost Basis 2013'!$F$96+'IID Cost Basis 2013'!$F$97)</f>
        <v>0</v>
      </c>
      <c r="AX64" s="83">
        <f>AX62*('IID Cost Basis 2013'!$F$96+'IID Cost Basis 2013'!$F$97)</f>
        <v>0</v>
      </c>
      <c r="AY64" s="83">
        <f>AY62*('IID Cost Basis 2013'!$F$96+'IID Cost Basis 2013'!$F$97)</f>
        <v>0</v>
      </c>
      <c r="AZ64" s="83">
        <f>AZ62*('IID Cost Basis 2013'!$F$96+'IID Cost Basis 2013'!$F$97)</f>
        <v>0</v>
      </c>
      <c r="BA64" s="83">
        <f>BA62*('IID Cost Basis 2013'!$F$96+'IID Cost Basis 2013'!$F$97)</f>
        <v>0</v>
      </c>
      <c r="BB64" s="83">
        <f>BB62*('IID Cost Basis 2013'!$F$96+'IID Cost Basis 2013'!$F$97)</f>
        <v>0</v>
      </c>
      <c r="BC64" s="83">
        <f>BC62*('IID Cost Basis 2013'!$F$96+'IID Cost Basis 2013'!$F$97)</f>
        <v>0</v>
      </c>
      <c r="BD64" s="83">
        <f>BD62*('IID Cost Basis 2013'!$F$96+'IID Cost Basis 2013'!$F$97)</f>
        <v>0</v>
      </c>
      <c r="BE64" s="83">
        <f>BE62*('IID Cost Basis 2013'!$F$96+'IID Cost Basis 2013'!$F$97)</f>
        <v>0</v>
      </c>
      <c r="BF64" s="83">
        <f>BF62*('IID Cost Basis 2013'!$F$96+'IID Cost Basis 2013'!$F$97)</f>
        <v>0</v>
      </c>
      <c r="BG64" s="83">
        <f>BG62*('IID Cost Basis 2013'!$F$96+'IID Cost Basis 2013'!$F$97)</f>
        <v>0</v>
      </c>
      <c r="BH64" s="83">
        <f>BH62*('IID Cost Basis 2013'!$F$96+'IID Cost Basis 2013'!$F$97)</f>
        <v>0</v>
      </c>
      <c r="BI64" s="83"/>
    </row>
    <row r="65" spans="1:61" hidden="1" x14ac:dyDescent="0.2">
      <c r="A65" t="s">
        <v>25</v>
      </c>
      <c r="B65" s="31"/>
      <c r="C65" s="5">
        <f>C62*'IID Cost Basis 2013'!$F$102</f>
        <v>0</v>
      </c>
      <c r="D65" s="5">
        <f>D62*'IID Cost Basis 2013'!$F$102</f>
        <v>0</v>
      </c>
      <c r="E65" s="5">
        <f>E62*'IID Cost Basis 2013'!$F$102</f>
        <v>0</v>
      </c>
      <c r="F65" s="5">
        <f>F62*'IID Cost Basis 2013'!$F$102</f>
        <v>0</v>
      </c>
      <c r="G65" s="5">
        <f>G62*'IID Cost Basis 2013'!$F$102</f>
        <v>0</v>
      </c>
      <c r="H65" s="5">
        <f>H62*'IID Cost Basis 2013'!$F$102</f>
        <v>0</v>
      </c>
      <c r="I65" s="5">
        <f>I62*'IID Cost Basis 2013'!$F$102</f>
        <v>0</v>
      </c>
      <c r="J65" s="5">
        <f>J62*'IID Cost Basis 2013'!$F$102</f>
        <v>0</v>
      </c>
      <c r="K65" s="5">
        <f>K62*'IID Cost Basis 2013'!$F$102</f>
        <v>0</v>
      </c>
      <c r="L65" s="5">
        <f>L62*'IID Cost Basis 2013'!$F$102</f>
        <v>0</v>
      </c>
      <c r="M65" s="5">
        <f>M62*'IID Cost Basis 2013'!$F$102</f>
        <v>0</v>
      </c>
      <c r="N65" s="5">
        <f>N62*'IID Cost Basis 2013'!$F$102</f>
        <v>0</v>
      </c>
      <c r="O65" s="5">
        <f>O62*'IID Cost Basis 2013'!$F$102</f>
        <v>0</v>
      </c>
      <c r="P65" s="5">
        <f>P62*'IID Cost Basis 2013'!$F$102</f>
        <v>0</v>
      </c>
      <c r="Q65" s="5">
        <f>Q62*'IID Cost Basis 2013'!$F$102</f>
        <v>0</v>
      </c>
      <c r="R65" s="5">
        <f>R62*'IID Cost Basis 2013'!$F$102</f>
        <v>0</v>
      </c>
      <c r="S65" s="5">
        <f>S62*'IID Cost Basis 2013'!$F$102</f>
        <v>0</v>
      </c>
      <c r="T65" s="5">
        <f>T62*'IID Cost Basis 2013'!$F$102</f>
        <v>0</v>
      </c>
      <c r="U65" s="5">
        <f>U62*'IID Cost Basis 2013'!$F$102</f>
        <v>0</v>
      </c>
      <c r="V65" s="5">
        <f>V62*'IID Cost Basis 2013'!$F$102</f>
        <v>0</v>
      </c>
      <c r="W65" s="5">
        <f>W62*'IID Cost Basis 2013'!$F$102</f>
        <v>0</v>
      </c>
      <c r="X65" s="5">
        <f>X62*'IID Cost Basis 2013'!$F$102</f>
        <v>0</v>
      </c>
      <c r="Y65" s="5">
        <f>Y62*'IID Cost Basis 2013'!$F$102</f>
        <v>0</v>
      </c>
      <c r="Z65" s="5">
        <f>Z62*'IID Cost Basis 2013'!$F$102</f>
        <v>0</v>
      </c>
      <c r="AA65" s="5">
        <f>AA62*'IID Cost Basis 2013'!$F$102</f>
        <v>0</v>
      </c>
      <c r="AB65" s="5">
        <f>AB62*'IID Cost Basis 2013'!$F$102</f>
        <v>0</v>
      </c>
      <c r="AC65" s="5">
        <f>AC62*'IID Cost Basis 2013'!$F$102</f>
        <v>0</v>
      </c>
      <c r="AD65" s="5">
        <f>AD62*'IID Cost Basis 2013'!$F$102</f>
        <v>0</v>
      </c>
      <c r="AE65" s="5">
        <f>AE62*'IID Cost Basis 2013'!$F$102</f>
        <v>0</v>
      </c>
      <c r="AF65" s="5">
        <f>AF62*'IID Cost Basis 2013'!$F$102</f>
        <v>0</v>
      </c>
      <c r="AG65" s="5">
        <f>AG62*'IID Cost Basis 2013'!$F$102</f>
        <v>0</v>
      </c>
      <c r="AH65" s="5">
        <f>AH62*'IID Cost Basis 2013'!$F$102</f>
        <v>0</v>
      </c>
      <c r="AI65" s="5">
        <f>AI62*'IID Cost Basis 2013'!$F$102</f>
        <v>0</v>
      </c>
      <c r="AJ65" s="5">
        <f>AJ62*'IID Cost Basis 2013'!$F$102</f>
        <v>0</v>
      </c>
      <c r="AK65" s="5">
        <f>AK62*'IID Cost Basis 2013'!$F$102</f>
        <v>0</v>
      </c>
      <c r="AL65" s="5">
        <f>AL62*'IID Cost Basis 2013'!$F$102</f>
        <v>0</v>
      </c>
      <c r="AM65" s="5">
        <f>AM62*'IID Cost Basis 2013'!$F$102</f>
        <v>0</v>
      </c>
      <c r="AN65" s="5">
        <f>AN62*'IID Cost Basis 2013'!$F$102</f>
        <v>0</v>
      </c>
      <c r="AO65" s="5">
        <f>AO62*'IID Cost Basis 2013'!$F$102</f>
        <v>0</v>
      </c>
      <c r="AP65" s="5">
        <f>AP62*'IID Cost Basis 2013'!$F$102</f>
        <v>0</v>
      </c>
      <c r="AQ65" s="5">
        <f>AQ62*'IID Cost Basis 2013'!$F$102</f>
        <v>0</v>
      </c>
      <c r="AR65" s="5">
        <f>AR62*'IID Cost Basis 2013'!$F$102</f>
        <v>0</v>
      </c>
      <c r="AS65" s="5">
        <f>AS62*'IID Cost Basis 2013'!$F$102</f>
        <v>0</v>
      </c>
      <c r="AT65" s="5">
        <f>AT62*'IID Cost Basis 2013'!$F$102</f>
        <v>0</v>
      </c>
      <c r="AU65" s="5">
        <f>AU62*'IID Cost Basis 2013'!$F$102</f>
        <v>0</v>
      </c>
      <c r="AV65" s="5">
        <f>AV62*'IID Cost Basis 2013'!$F$102</f>
        <v>0</v>
      </c>
      <c r="AW65" s="5">
        <f>AW62*'IID Cost Basis 2013'!$F$102</f>
        <v>0</v>
      </c>
      <c r="AX65" s="5">
        <f>AX62*'IID Cost Basis 2013'!$F$102</f>
        <v>0</v>
      </c>
      <c r="AY65" s="5">
        <f>AY62*'IID Cost Basis 2013'!$F$102</f>
        <v>0</v>
      </c>
      <c r="AZ65" s="5">
        <f>AZ62*'IID Cost Basis 2013'!$F$102</f>
        <v>0</v>
      </c>
      <c r="BA65" s="5">
        <f>BA62*'IID Cost Basis 2013'!$F$102</f>
        <v>0</v>
      </c>
      <c r="BB65" s="5">
        <f>BB62*'IID Cost Basis 2013'!$F$102</f>
        <v>0</v>
      </c>
      <c r="BC65" s="5">
        <f>BC62*'IID Cost Basis 2013'!$F$102</f>
        <v>0</v>
      </c>
      <c r="BD65" s="5">
        <f>BD62*'IID Cost Basis 2013'!$F$102</f>
        <v>0</v>
      </c>
      <c r="BE65" s="5">
        <f>BE62*'IID Cost Basis 2013'!$F$102</f>
        <v>0</v>
      </c>
      <c r="BF65" s="5">
        <f>BF62*'IID Cost Basis 2013'!$F$102</f>
        <v>0</v>
      </c>
      <c r="BG65" s="5">
        <f>BG62*'IID Cost Basis 2013'!$F$102</f>
        <v>0</v>
      </c>
      <c r="BH65" s="5">
        <f>BH62*'IID Cost Basis 2013'!$F$102</f>
        <v>0</v>
      </c>
      <c r="BI65" s="5"/>
    </row>
    <row r="66" spans="1:61" hidden="1" x14ac:dyDescent="0.2">
      <c r="A66" t="s">
        <v>1</v>
      </c>
      <c r="B66" s="31"/>
      <c r="C66" s="11">
        <f>'Blended Water Cost Summary'!$F$9</f>
        <v>2.3333333333333335</v>
      </c>
      <c r="D66" s="11">
        <f>'Blended Water Cost Summary'!$F$9</f>
        <v>2.3333333333333335</v>
      </c>
      <c r="E66" s="11">
        <f>'Blended Water Cost Summary'!$F$9</f>
        <v>2.3333333333333335</v>
      </c>
      <c r="F66" s="11">
        <f>'Blended Water Cost Summary'!$F$9</f>
        <v>2.3333333333333335</v>
      </c>
      <c r="G66" s="11">
        <f>'Blended Water Cost Summary'!$F$9</f>
        <v>2.3333333333333335</v>
      </c>
      <c r="H66" s="11">
        <f>'Blended Water Cost Summary'!$F$9</f>
        <v>2.3333333333333335</v>
      </c>
      <c r="I66" s="11">
        <f>'Blended Water Cost Summary'!$F$9</f>
        <v>2.3333333333333335</v>
      </c>
      <c r="J66" s="11">
        <f>'Blended Water Cost Summary'!$F$9</f>
        <v>2.3333333333333335</v>
      </c>
      <c r="K66" s="11">
        <f>'Blended Water Cost Summary'!$F$9</f>
        <v>2.3333333333333335</v>
      </c>
      <c r="L66" s="11">
        <f>'Blended Water Cost Summary'!$F$9</f>
        <v>2.3333333333333335</v>
      </c>
      <c r="M66" s="11">
        <f>'Blended Water Cost Summary'!$F$9</f>
        <v>2.3333333333333335</v>
      </c>
      <c r="N66" s="11">
        <f>'Blended Water Cost Summary'!$F$9</f>
        <v>2.3333333333333335</v>
      </c>
      <c r="O66" s="11">
        <f>'Blended Water Cost Summary'!$F$9</f>
        <v>2.3333333333333335</v>
      </c>
      <c r="P66" s="11">
        <f>'Blended Water Cost Summary'!$F$9</f>
        <v>2.3333333333333335</v>
      </c>
      <c r="Q66" s="11">
        <f>'Blended Water Cost Summary'!$F$9</f>
        <v>2.3333333333333335</v>
      </c>
      <c r="R66" s="11">
        <f>'Blended Water Cost Summary'!$F$9</f>
        <v>2.3333333333333335</v>
      </c>
      <c r="S66" s="11">
        <f>'Blended Water Cost Summary'!$F$9</f>
        <v>2.3333333333333335</v>
      </c>
      <c r="T66" s="11">
        <f>'Blended Water Cost Summary'!$F$9</f>
        <v>2.3333333333333335</v>
      </c>
      <c r="U66" s="11">
        <f>'Blended Water Cost Summary'!$F$9</f>
        <v>2.3333333333333335</v>
      </c>
      <c r="V66" s="11">
        <f>'Blended Water Cost Summary'!$F$9</f>
        <v>2.3333333333333335</v>
      </c>
      <c r="W66" s="11">
        <f>'Blended Water Cost Summary'!$F$9</f>
        <v>2.3333333333333335</v>
      </c>
      <c r="X66" s="11">
        <f>'Blended Water Cost Summary'!$F$9</f>
        <v>2.3333333333333335</v>
      </c>
      <c r="Y66" s="11">
        <f>'Blended Water Cost Summary'!$F$9</f>
        <v>2.3333333333333335</v>
      </c>
      <c r="Z66" s="11">
        <f>'Blended Water Cost Summary'!$F$9</f>
        <v>2.3333333333333335</v>
      </c>
      <c r="AA66" s="11">
        <f>'Blended Water Cost Summary'!$F$9</f>
        <v>2.3333333333333335</v>
      </c>
      <c r="AB66" s="11">
        <f>'Blended Water Cost Summary'!$F$9</f>
        <v>2.3333333333333335</v>
      </c>
      <c r="AC66" s="11">
        <f>'Blended Water Cost Summary'!$F$9</f>
        <v>2.3333333333333335</v>
      </c>
      <c r="AD66" s="11">
        <f>'Blended Water Cost Summary'!$F$9</f>
        <v>2.3333333333333335</v>
      </c>
      <c r="AE66" s="11">
        <f>'Blended Water Cost Summary'!$F$9</f>
        <v>2.3333333333333335</v>
      </c>
      <c r="AF66" s="11">
        <f>'Blended Water Cost Summary'!$F$9</f>
        <v>2.3333333333333335</v>
      </c>
      <c r="AG66" s="11">
        <f>'Blended Water Cost Summary'!$F$9</f>
        <v>2.3333333333333335</v>
      </c>
      <c r="AH66" s="11">
        <f>'Blended Water Cost Summary'!$F$9</f>
        <v>2.3333333333333335</v>
      </c>
      <c r="AI66" s="11">
        <f>'Blended Water Cost Summary'!$F$9</f>
        <v>2.3333333333333335</v>
      </c>
      <c r="AJ66" s="11">
        <f>'Blended Water Cost Summary'!$F$9</f>
        <v>2.3333333333333335</v>
      </c>
      <c r="AK66" s="11">
        <f>'Blended Water Cost Summary'!$F$9</f>
        <v>2.3333333333333335</v>
      </c>
      <c r="AL66" s="11">
        <f>'Blended Water Cost Summary'!$F$9</f>
        <v>2.3333333333333335</v>
      </c>
      <c r="AM66" s="11">
        <f>'Blended Water Cost Summary'!$F$9</f>
        <v>2.3333333333333335</v>
      </c>
      <c r="AN66" s="11">
        <f>'Blended Water Cost Summary'!$F$9</f>
        <v>2.3333333333333335</v>
      </c>
      <c r="AO66" s="11">
        <f>'Blended Water Cost Summary'!$F$9</f>
        <v>2.3333333333333335</v>
      </c>
      <c r="AP66" s="11">
        <f>'Blended Water Cost Summary'!$F$9</f>
        <v>2.3333333333333335</v>
      </c>
      <c r="AQ66" s="11">
        <f>'Blended Water Cost Summary'!$F$9</f>
        <v>2.3333333333333335</v>
      </c>
      <c r="AR66" s="11">
        <f>'Blended Water Cost Summary'!$F$9</f>
        <v>2.3333333333333335</v>
      </c>
      <c r="AS66" s="11">
        <f>'Blended Water Cost Summary'!$F$9</f>
        <v>2.3333333333333335</v>
      </c>
      <c r="AT66" s="11">
        <f>'Blended Water Cost Summary'!$F$9</f>
        <v>2.3333333333333335</v>
      </c>
      <c r="AU66" s="11">
        <f>'Blended Water Cost Summary'!$F$9</f>
        <v>2.3333333333333335</v>
      </c>
      <c r="AV66" s="11">
        <f>'Blended Water Cost Summary'!$F$9</f>
        <v>2.3333333333333335</v>
      </c>
      <c r="AW66" s="11">
        <f>'Blended Water Cost Summary'!$F$9</f>
        <v>2.3333333333333335</v>
      </c>
      <c r="AX66" s="11">
        <f>'Blended Water Cost Summary'!$F$9</f>
        <v>2.3333333333333335</v>
      </c>
      <c r="AY66" s="11">
        <f>'Blended Water Cost Summary'!$F$9</f>
        <v>2.3333333333333335</v>
      </c>
      <c r="AZ66" s="11">
        <f>'Blended Water Cost Summary'!$F$9</f>
        <v>2.3333333333333335</v>
      </c>
      <c r="BA66" s="11">
        <f>'Blended Water Cost Summary'!$F$9</f>
        <v>2.3333333333333335</v>
      </c>
      <c r="BB66" s="11">
        <f>'Blended Water Cost Summary'!$F$9</f>
        <v>2.3333333333333335</v>
      </c>
      <c r="BC66" s="11">
        <f>'Blended Water Cost Summary'!$F$9</f>
        <v>2.3333333333333335</v>
      </c>
      <c r="BD66" s="11">
        <f>'Blended Water Cost Summary'!$F$9</f>
        <v>2.3333333333333335</v>
      </c>
      <c r="BE66" s="11">
        <f>'Blended Water Cost Summary'!$F$9</f>
        <v>2.3333333333333335</v>
      </c>
      <c r="BF66" s="11">
        <f>'Blended Water Cost Summary'!$F$9</f>
        <v>2.3333333333333335</v>
      </c>
      <c r="BG66" s="11">
        <f>'Blended Water Cost Summary'!$F$9</f>
        <v>2.3333333333333335</v>
      </c>
      <c r="BH66" s="11">
        <f>'Blended Water Cost Summary'!$F$9</f>
        <v>2.3333333333333335</v>
      </c>
      <c r="BI66" s="11"/>
    </row>
    <row r="67" spans="1:61" s="80" customFormat="1" hidden="1" x14ac:dyDescent="0.2">
      <c r="A67" s="80" t="s">
        <v>645</v>
      </c>
      <c r="B67" s="163"/>
      <c r="C67" s="106">
        <f>C65</f>
        <v>0</v>
      </c>
      <c r="D67" s="106">
        <f t="shared" ref="D67:BH67" si="27">D65</f>
        <v>0</v>
      </c>
      <c r="E67" s="106">
        <f t="shared" si="27"/>
        <v>0</v>
      </c>
      <c r="F67" s="106">
        <f t="shared" si="27"/>
        <v>0</v>
      </c>
      <c r="G67" s="106">
        <f t="shared" si="27"/>
        <v>0</v>
      </c>
      <c r="H67" s="106">
        <f t="shared" si="27"/>
        <v>0</v>
      </c>
      <c r="I67" s="106">
        <f t="shared" si="27"/>
        <v>0</v>
      </c>
      <c r="J67" s="106">
        <f t="shared" si="27"/>
        <v>0</v>
      </c>
      <c r="K67" s="106">
        <f t="shared" si="27"/>
        <v>0</v>
      </c>
      <c r="L67" s="106">
        <f t="shared" si="27"/>
        <v>0</v>
      </c>
      <c r="M67" s="106">
        <f t="shared" si="27"/>
        <v>0</v>
      </c>
      <c r="N67" s="106">
        <f t="shared" si="27"/>
        <v>0</v>
      </c>
      <c r="O67" s="106">
        <f t="shared" si="27"/>
        <v>0</v>
      </c>
      <c r="P67" s="106">
        <f t="shared" si="27"/>
        <v>0</v>
      </c>
      <c r="Q67" s="106">
        <f t="shared" si="27"/>
        <v>0</v>
      </c>
      <c r="R67" s="106">
        <f t="shared" si="27"/>
        <v>0</v>
      </c>
      <c r="S67" s="106">
        <f t="shared" si="27"/>
        <v>0</v>
      </c>
      <c r="T67" s="106">
        <f t="shared" si="27"/>
        <v>0</v>
      </c>
      <c r="U67" s="106">
        <f t="shared" si="27"/>
        <v>0</v>
      </c>
      <c r="V67" s="106">
        <f t="shared" si="27"/>
        <v>0</v>
      </c>
      <c r="W67" s="106">
        <f t="shared" si="27"/>
        <v>0</v>
      </c>
      <c r="X67" s="106">
        <f t="shared" si="27"/>
        <v>0</v>
      </c>
      <c r="Y67" s="106">
        <f t="shared" si="27"/>
        <v>0</v>
      </c>
      <c r="Z67" s="106">
        <f t="shared" si="27"/>
        <v>0</v>
      </c>
      <c r="AA67" s="106">
        <f t="shared" si="27"/>
        <v>0</v>
      </c>
      <c r="AB67" s="106">
        <f t="shared" si="27"/>
        <v>0</v>
      </c>
      <c r="AC67" s="106">
        <f t="shared" si="27"/>
        <v>0</v>
      </c>
      <c r="AD67" s="106">
        <f t="shared" si="27"/>
        <v>0</v>
      </c>
      <c r="AE67" s="106">
        <f t="shared" si="27"/>
        <v>0</v>
      </c>
      <c r="AF67" s="106">
        <f t="shared" si="27"/>
        <v>0</v>
      </c>
      <c r="AG67" s="106">
        <f t="shared" si="27"/>
        <v>0</v>
      </c>
      <c r="AH67" s="106">
        <f t="shared" si="27"/>
        <v>0</v>
      </c>
      <c r="AI67" s="106">
        <f t="shared" si="27"/>
        <v>0</v>
      </c>
      <c r="AJ67" s="106">
        <f t="shared" si="27"/>
        <v>0</v>
      </c>
      <c r="AK67" s="106">
        <f t="shared" si="27"/>
        <v>0</v>
      </c>
      <c r="AL67" s="106">
        <f t="shared" si="27"/>
        <v>0</v>
      </c>
      <c r="AM67" s="106">
        <f t="shared" si="27"/>
        <v>0</v>
      </c>
      <c r="AN67" s="106">
        <f t="shared" si="27"/>
        <v>0</v>
      </c>
      <c r="AO67" s="106">
        <f t="shared" si="27"/>
        <v>0</v>
      </c>
      <c r="AP67" s="106">
        <f t="shared" si="27"/>
        <v>0</v>
      </c>
      <c r="AQ67" s="106">
        <f t="shared" si="27"/>
        <v>0</v>
      </c>
      <c r="AR67" s="106">
        <f t="shared" si="27"/>
        <v>0</v>
      </c>
      <c r="AS67" s="106">
        <f t="shared" si="27"/>
        <v>0</v>
      </c>
      <c r="AT67" s="106">
        <f t="shared" si="27"/>
        <v>0</v>
      </c>
      <c r="AU67" s="106">
        <f t="shared" si="27"/>
        <v>0</v>
      </c>
      <c r="AV67" s="106">
        <f t="shared" si="27"/>
        <v>0</v>
      </c>
      <c r="AW67" s="106">
        <f t="shared" si="27"/>
        <v>0</v>
      </c>
      <c r="AX67" s="106">
        <f t="shared" si="27"/>
        <v>0</v>
      </c>
      <c r="AY67" s="106">
        <f t="shared" si="27"/>
        <v>0</v>
      </c>
      <c r="AZ67" s="106">
        <f t="shared" si="27"/>
        <v>0</v>
      </c>
      <c r="BA67" s="106">
        <f t="shared" si="27"/>
        <v>0</v>
      </c>
      <c r="BB67" s="106">
        <f t="shared" si="27"/>
        <v>0</v>
      </c>
      <c r="BC67" s="106">
        <f t="shared" si="27"/>
        <v>0</v>
      </c>
      <c r="BD67" s="106">
        <f t="shared" si="27"/>
        <v>0</v>
      </c>
      <c r="BE67" s="106">
        <f t="shared" si="27"/>
        <v>0</v>
      </c>
      <c r="BF67" s="106">
        <f t="shared" si="27"/>
        <v>0</v>
      </c>
      <c r="BG67" s="106">
        <f t="shared" si="27"/>
        <v>0</v>
      </c>
      <c r="BH67" s="106">
        <f t="shared" si="27"/>
        <v>0</v>
      </c>
      <c r="BI67" s="106"/>
    </row>
    <row r="68" spans="1:61" hidden="1" x14ac:dyDescent="0.2">
      <c r="A68" t="s">
        <v>647</v>
      </c>
      <c r="B68" s="31"/>
      <c r="C68" s="10">
        <f>IF(C67&gt;0,'Blended Water Cost Summary'!$F$16,0)</f>
        <v>0</v>
      </c>
      <c r="D68" s="10">
        <f>IF(D67&gt;0,'Blended Water Cost Summary'!$F$16,0)</f>
        <v>0</v>
      </c>
      <c r="E68" s="10">
        <f>IF(E67&gt;0,'Blended Water Cost Summary'!$F$16,0)</f>
        <v>0</v>
      </c>
      <c r="F68" s="10">
        <f>IF(F67&gt;0,'Blended Water Cost Summary'!$F$16,0)</f>
        <v>0</v>
      </c>
      <c r="G68" s="10">
        <f>IF(G67&gt;0,'Blended Water Cost Summary'!$F$16,0)</f>
        <v>0</v>
      </c>
      <c r="H68" s="10">
        <f>IF(H67&gt;0,'Blended Water Cost Summary'!$F$16,0)</f>
        <v>0</v>
      </c>
      <c r="I68" s="10">
        <f>IF(I67&gt;0,'Blended Water Cost Summary'!$F$16,0)</f>
        <v>0</v>
      </c>
      <c r="J68" s="10">
        <f>IF(J67&gt;0,'Blended Water Cost Summary'!$F$16,0)</f>
        <v>0</v>
      </c>
      <c r="K68" s="10">
        <f>IF(K67&gt;0,'Blended Water Cost Summary'!$F$16,0)</f>
        <v>0</v>
      </c>
      <c r="L68" s="10">
        <f>IF(L67&gt;0,'Blended Water Cost Summary'!$F$16,0)</f>
        <v>0</v>
      </c>
      <c r="M68" s="10">
        <f>IF(M67&gt;0,'Blended Water Cost Summary'!$F$16,0)</f>
        <v>0</v>
      </c>
      <c r="N68" s="10">
        <f>IF(N67&gt;0,'Blended Water Cost Summary'!$F$16,0)</f>
        <v>0</v>
      </c>
      <c r="O68" s="10">
        <f>IF(O67&gt;0,'Blended Water Cost Summary'!$F$16,0)</f>
        <v>0</v>
      </c>
      <c r="P68" s="10">
        <f>IF(P67&gt;0,'Blended Water Cost Summary'!$F$16,0)</f>
        <v>0</v>
      </c>
      <c r="Q68" s="10">
        <f>IF(Q67&gt;0,'Blended Water Cost Summary'!$F$16,0)</f>
        <v>0</v>
      </c>
      <c r="R68" s="10">
        <f>IF(R67&gt;0,'Blended Water Cost Summary'!$F$16,0)</f>
        <v>0</v>
      </c>
      <c r="S68" s="10">
        <f>IF(S67&gt;0,'Blended Water Cost Summary'!$F$16,0)</f>
        <v>0</v>
      </c>
      <c r="T68" s="10">
        <f>IF(T67&gt;0,'Blended Water Cost Summary'!$F$16,0)</f>
        <v>0</v>
      </c>
      <c r="U68" s="10">
        <f>IF(U67&gt;0,'Blended Water Cost Summary'!$F$16,0)</f>
        <v>0</v>
      </c>
      <c r="V68" s="10">
        <f>IF(V67&gt;0,'Blended Water Cost Summary'!$F$16,0)</f>
        <v>0</v>
      </c>
      <c r="W68" s="10">
        <f>IF(W67&gt;0,'Blended Water Cost Summary'!$F$16,0)</f>
        <v>0</v>
      </c>
      <c r="X68" s="10">
        <f>IF(X67&gt;0,'Blended Water Cost Summary'!$F$16,0)</f>
        <v>0</v>
      </c>
      <c r="Y68" s="10">
        <f>IF(Y67&gt;0,'Blended Water Cost Summary'!$F$16,0)</f>
        <v>0</v>
      </c>
      <c r="Z68" s="10">
        <f>IF(Z67&gt;0,'Blended Water Cost Summary'!$F$16,0)</f>
        <v>0</v>
      </c>
      <c r="AA68" s="10">
        <f>IF(AA67&gt;0,'Blended Water Cost Summary'!$F$16,0)</f>
        <v>0</v>
      </c>
      <c r="AB68" s="10">
        <f>IF(AB67&gt;0,'Blended Water Cost Summary'!$F$16,0)</f>
        <v>0</v>
      </c>
      <c r="AC68" s="10">
        <f>IF(AC67&gt;0,'Blended Water Cost Summary'!$F$16,0)</f>
        <v>0</v>
      </c>
      <c r="AD68" s="10">
        <f>IF(AD67&gt;0,'Blended Water Cost Summary'!$F$16,0)</f>
        <v>0</v>
      </c>
      <c r="AE68" s="10">
        <f>IF(AE67&gt;0,'Blended Water Cost Summary'!$F$16,0)</f>
        <v>0</v>
      </c>
      <c r="AF68" s="10">
        <f>IF(AF67&gt;0,'Blended Water Cost Summary'!$F$16,0)</f>
        <v>0</v>
      </c>
      <c r="AG68" s="10">
        <f>IF(AG67&gt;0,'Blended Water Cost Summary'!$F$16,0)</f>
        <v>0</v>
      </c>
      <c r="AH68" s="10">
        <f>IF(AH67&gt;0,'Blended Water Cost Summary'!$F$16,0)</f>
        <v>0</v>
      </c>
      <c r="AI68" s="10">
        <f>IF(AI67&gt;0,'Blended Water Cost Summary'!$F$16,0)</f>
        <v>0</v>
      </c>
      <c r="AJ68" s="10">
        <f>IF(AJ67&gt;0,'Blended Water Cost Summary'!$F$16,0)</f>
        <v>0</v>
      </c>
      <c r="AK68" s="10">
        <f>IF(AK67&gt;0,'Blended Water Cost Summary'!$F$16,0)</f>
        <v>0</v>
      </c>
      <c r="AL68" s="10">
        <f>IF(AL67&gt;0,'Blended Water Cost Summary'!$F$16,0)</f>
        <v>0</v>
      </c>
      <c r="AM68" s="10">
        <f>IF(AM67&gt;0,'Blended Water Cost Summary'!$F$16,0)</f>
        <v>0</v>
      </c>
      <c r="AN68" s="10">
        <f>IF(AN67&gt;0,'Blended Water Cost Summary'!$F$16,0)</f>
        <v>0</v>
      </c>
      <c r="AO68" s="10">
        <f>IF(AO67&gt;0,'Blended Water Cost Summary'!$F$16,0)</f>
        <v>0</v>
      </c>
      <c r="AP68" s="10">
        <f>IF(AP67&gt;0,'Blended Water Cost Summary'!$F$16,0)</f>
        <v>0</v>
      </c>
      <c r="AQ68" s="10">
        <f>IF(AQ67&gt;0,'Blended Water Cost Summary'!$F$16,0)</f>
        <v>0</v>
      </c>
      <c r="AR68" s="10">
        <f>IF(AR67&gt;0,'Blended Water Cost Summary'!$F$16,0)</f>
        <v>0</v>
      </c>
      <c r="AS68" s="10">
        <f>IF(AS67&gt;0,'Blended Water Cost Summary'!$F$16,0)</f>
        <v>0</v>
      </c>
      <c r="AT68" s="10">
        <f>IF(AT67&gt;0,'Blended Water Cost Summary'!$F$16,0)</f>
        <v>0</v>
      </c>
      <c r="AU68" s="10">
        <f>IF(AU67&gt;0,'Blended Water Cost Summary'!$F$16,0)</f>
        <v>0</v>
      </c>
      <c r="AV68" s="10">
        <f>IF(AV67&gt;0,'Blended Water Cost Summary'!$F$16,0)</f>
        <v>0</v>
      </c>
      <c r="AW68" s="10">
        <f>IF(AW67&gt;0,'Blended Water Cost Summary'!$F$16,0)</f>
        <v>0</v>
      </c>
      <c r="AX68" s="10">
        <f>IF(AX67&gt;0,'Blended Water Cost Summary'!$F$16,0)</f>
        <v>0</v>
      </c>
      <c r="AY68" s="10">
        <f>IF(AY67&gt;0,'Blended Water Cost Summary'!$F$16,0)</f>
        <v>0</v>
      </c>
      <c r="AZ68" s="10">
        <f>IF(AZ67&gt;0,'Blended Water Cost Summary'!$F$16,0)</f>
        <v>0</v>
      </c>
      <c r="BA68" s="10">
        <f>IF(BA67&gt;0,'Blended Water Cost Summary'!$F$16,0)</f>
        <v>0</v>
      </c>
      <c r="BB68" s="10">
        <f>IF(BB67&gt;0,'Blended Water Cost Summary'!$F$16,0)</f>
        <v>0</v>
      </c>
      <c r="BC68" s="10">
        <f>IF(BC67&gt;0,'Blended Water Cost Summary'!$F$16,0)</f>
        <v>0</v>
      </c>
      <c r="BD68" s="10">
        <f>IF(BD67&gt;0,'Blended Water Cost Summary'!$F$16,0)</f>
        <v>0</v>
      </c>
      <c r="BE68" s="10">
        <f>IF(BE67&gt;0,'Blended Water Cost Summary'!$F$16,0)</f>
        <v>0</v>
      </c>
      <c r="BF68" s="10">
        <f>IF(BF67&gt;0,'Blended Water Cost Summary'!$F$16,0)</f>
        <v>0</v>
      </c>
      <c r="BG68" s="10">
        <f>IF(BG67&gt;0,'Blended Water Cost Summary'!$F$16,0)</f>
        <v>0</v>
      </c>
      <c r="BH68" s="10">
        <f>IF(BH67&gt;0,'Blended Water Cost Summary'!$F$16,0)</f>
        <v>0</v>
      </c>
      <c r="BI68" s="10"/>
    </row>
    <row r="69" spans="1:61" s="82" customFormat="1" hidden="1" x14ac:dyDescent="0.2">
      <c r="A69" s="82" t="s">
        <v>646</v>
      </c>
      <c r="B69" s="156"/>
      <c r="C69" s="83">
        <f t="shared" ref="C69:BH69" si="28">C67*C68</f>
        <v>0</v>
      </c>
      <c r="D69" s="83">
        <f t="shared" si="28"/>
        <v>0</v>
      </c>
      <c r="E69" s="83">
        <f t="shared" si="28"/>
        <v>0</v>
      </c>
      <c r="F69" s="83">
        <f t="shared" si="28"/>
        <v>0</v>
      </c>
      <c r="G69" s="83">
        <f t="shared" si="28"/>
        <v>0</v>
      </c>
      <c r="H69" s="83">
        <f t="shared" si="28"/>
        <v>0</v>
      </c>
      <c r="I69" s="83">
        <f t="shared" si="28"/>
        <v>0</v>
      </c>
      <c r="J69" s="83">
        <f t="shared" si="28"/>
        <v>0</v>
      </c>
      <c r="K69" s="83">
        <f t="shared" si="28"/>
        <v>0</v>
      </c>
      <c r="L69" s="83">
        <f t="shared" si="28"/>
        <v>0</v>
      </c>
      <c r="M69" s="83">
        <f t="shared" si="28"/>
        <v>0</v>
      </c>
      <c r="N69" s="83">
        <f t="shared" si="28"/>
        <v>0</v>
      </c>
      <c r="O69" s="83">
        <f t="shared" si="28"/>
        <v>0</v>
      </c>
      <c r="P69" s="83">
        <f t="shared" si="28"/>
        <v>0</v>
      </c>
      <c r="Q69" s="83">
        <f t="shared" si="28"/>
        <v>0</v>
      </c>
      <c r="R69" s="83">
        <f t="shared" si="28"/>
        <v>0</v>
      </c>
      <c r="S69" s="83">
        <f t="shared" si="28"/>
        <v>0</v>
      </c>
      <c r="T69" s="83">
        <f t="shared" si="28"/>
        <v>0</v>
      </c>
      <c r="U69" s="83">
        <f t="shared" si="28"/>
        <v>0</v>
      </c>
      <c r="V69" s="83">
        <f t="shared" si="28"/>
        <v>0</v>
      </c>
      <c r="W69" s="83">
        <f t="shared" si="28"/>
        <v>0</v>
      </c>
      <c r="X69" s="83">
        <f t="shared" si="28"/>
        <v>0</v>
      </c>
      <c r="Y69" s="83">
        <f t="shared" si="28"/>
        <v>0</v>
      </c>
      <c r="Z69" s="83">
        <f t="shared" si="28"/>
        <v>0</v>
      </c>
      <c r="AA69" s="83">
        <f t="shared" si="28"/>
        <v>0</v>
      </c>
      <c r="AB69" s="83">
        <f t="shared" si="28"/>
        <v>0</v>
      </c>
      <c r="AC69" s="83">
        <f t="shared" si="28"/>
        <v>0</v>
      </c>
      <c r="AD69" s="83">
        <f t="shared" si="28"/>
        <v>0</v>
      </c>
      <c r="AE69" s="83">
        <f t="shared" si="28"/>
        <v>0</v>
      </c>
      <c r="AF69" s="83">
        <f t="shared" si="28"/>
        <v>0</v>
      </c>
      <c r="AG69" s="83">
        <f t="shared" si="28"/>
        <v>0</v>
      </c>
      <c r="AH69" s="83">
        <f t="shared" si="28"/>
        <v>0</v>
      </c>
      <c r="AI69" s="83">
        <f t="shared" si="28"/>
        <v>0</v>
      </c>
      <c r="AJ69" s="83">
        <f t="shared" si="28"/>
        <v>0</v>
      </c>
      <c r="AK69" s="83">
        <f t="shared" si="28"/>
        <v>0</v>
      </c>
      <c r="AL69" s="83">
        <f t="shared" si="28"/>
        <v>0</v>
      </c>
      <c r="AM69" s="83">
        <f t="shared" si="28"/>
        <v>0</v>
      </c>
      <c r="AN69" s="83">
        <f t="shared" si="28"/>
        <v>0</v>
      </c>
      <c r="AO69" s="83">
        <f t="shared" si="28"/>
        <v>0</v>
      </c>
      <c r="AP69" s="83">
        <f t="shared" si="28"/>
        <v>0</v>
      </c>
      <c r="AQ69" s="83">
        <f t="shared" si="28"/>
        <v>0</v>
      </c>
      <c r="AR69" s="83">
        <f t="shared" si="28"/>
        <v>0</v>
      </c>
      <c r="AS69" s="83">
        <f t="shared" si="28"/>
        <v>0</v>
      </c>
      <c r="AT69" s="83">
        <f t="shared" si="28"/>
        <v>0</v>
      </c>
      <c r="AU69" s="83">
        <f t="shared" si="28"/>
        <v>0</v>
      </c>
      <c r="AV69" s="83">
        <f t="shared" si="28"/>
        <v>0</v>
      </c>
      <c r="AW69" s="83">
        <f t="shared" si="28"/>
        <v>0</v>
      </c>
      <c r="AX69" s="83">
        <f t="shared" si="28"/>
        <v>0</v>
      </c>
      <c r="AY69" s="83">
        <f t="shared" si="28"/>
        <v>0</v>
      </c>
      <c r="AZ69" s="83">
        <f t="shared" si="28"/>
        <v>0</v>
      </c>
      <c r="BA69" s="83">
        <f t="shared" si="28"/>
        <v>0</v>
      </c>
      <c r="BB69" s="83">
        <f t="shared" si="28"/>
        <v>0</v>
      </c>
      <c r="BC69" s="83">
        <f t="shared" si="28"/>
        <v>0</v>
      </c>
      <c r="BD69" s="83">
        <f t="shared" si="28"/>
        <v>0</v>
      </c>
      <c r="BE69" s="83">
        <f t="shared" si="28"/>
        <v>0</v>
      </c>
      <c r="BF69" s="83">
        <f t="shared" si="28"/>
        <v>0</v>
      </c>
      <c r="BG69" s="83">
        <f t="shared" si="28"/>
        <v>0</v>
      </c>
      <c r="BH69" s="83">
        <f t="shared" si="28"/>
        <v>0</v>
      </c>
      <c r="BI69" s="83"/>
    </row>
    <row r="70" spans="1:61" s="104" customFormat="1" hidden="1" x14ac:dyDescent="0.2">
      <c r="B70" s="160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</row>
    <row r="71" spans="1:61" x14ac:dyDescent="0.2">
      <c r="A71" s="1" t="s">
        <v>806</v>
      </c>
      <c r="B71" s="3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x14ac:dyDescent="0.2">
      <c r="A72" t="s">
        <v>651</v>
      </c>
      <c r="B72" s="31"/>
      <c r="C72" s="122">
        <f t="shared" ref="C72:F72" si="29" xml:space="preserve"> D73</f>
        <v>0</v>
      </c>
      <c r="D72" s="122">
        <f t="shared" si="29"/>
        <v>0</v>
      </c>
      <c r="E72" s="122">
        <f t="shared" si="29"/>
        <v>0</v>
      </c>
      <c r="F72" s="122">
        <f t="shared" si="29"/>
        <v>1</v>
      </c>
      <c r="G72" s="122">
        <f xml:space="preserve"> H73</f>
        <v>2</v>
      </c>
      <c r="H72" s="122">
        <f t="shared" ref="H72:AL72" si="30" xml:space="preserve"> I73</f>
        <v>2</v>
      </c>
      <c r="I72" s="122">
        <f t="shared" si="30"/>
        <v>3</v>
      </c>
      <c r="J72" s="122">
        <f t="shared" si="30"/>
        <v>3</v>
      </c>
      <c r="K72" s="122">
        <f t="shared" si="30"/>
        <v>5</v>
      </c>
      <c r="L72" s="122">
        <f t="shared" si="30"/>
        <v>6</v>
      </c>
      <c r="M72" s="122">
        <f t="shared" si="30"/>
        <v>6</v>
      </c>
      <c r="N72" s="122">
        <f t="shared" si="30"/>
        <v>6</v>
      </c>
      <c r="O72" s="122">
        <f t="shared" si="30"/>
        <v>6</v>
      </c>
      <c r="P72" s="122">
        <f t="shared" si="30"/>
        <v>7</v>
      </c>
      <c r="Q72" s="122">
        <f t="shared" si="30"/>
        <v>6</v>
      </c>
      <c r="R72" s="122">
        <f t="shared" si="30"/>
        <v>6</v>
      </c>
      <c r="S72" s="122">
        <f t="shared" si="30"/>
        <v>7</v>
      </c>
      <c r="T72" s="122">
        <f t="shared" si="30"/>
        <v>7</v>
      </c>
      <c r="U72" s="122">
        <f t="shared" si="30"/>
        <v>7</v>
      </c>
      <c r="V72" s="122">
        <f t="shared" si="30"/>
        <v>7</v>
      </c>
      <c r="W72" s="122">
        <f t="shared" si="30"/>
        <v>7</v>
      </c>
      <c r="X72" s="122">
        <f t="shared" si="30"/>
        <v>7</v>
      </c>
      <c r="Y72" s="122">
        <f t="shared" si="30"/>
        <v>8</v>
      </c>
      <c r="Z72" s="122">
        <f t="shared" si="30"/>
        <v>7</v>
      </c>
      <c r="AA72" s="122">
        <f t="shared" si="30"/>
        <v>7</v>
      </c>
      <c r="AB72" s="122">
        <f t="shared" si="30"/>
        <v>7</v>
      </c>
      <c r="AC72" s="122">
        <f t="shared" si="30"/>
        <v>8</v>
      </c>
      <c r="AD72" s="122">
        <f t="shared" si="30"/>
        <v>7</v>
      </c>
      <c r="AE72" s="122">
        <f t="shared" si="30"/>
        <v>8</v>
      </c>
      <c r="AF72" s="122">
        <f t="shared" si="30"/>
        <v>6</v>
      </c>
      <c r="AG72" s="122">
        <f t="shared" si="30"/>
        <v>7</v>
      </c>
      <c r="AH72" s="122">
        <f t="shared" si="30"/>
        <v>7</v>
      </c>
      <c r="AI72" s="122">
        <f t="shared" si="30"/>
        <v>6</v>
      </c>
      <c r="AJ72" s="122">
        <f t="shared" si="30"/>
        <v>7</v>
      </c>
      <c r="AK72" s="122">
        <f t="shared" si="30"/>
        <v>7</v>
      </c>
      <c r="AL72" s="122">
        <f t="shared" si="30"/>
        <v>0</v>
      </c>
      <c r="AM72" s="122">
        <f t="shared" ref="AM72:BH72" si="31" xml:space="preserve"> BI73</f>
        <v>0</v>
      </c>
      <c r="AN72" s="122">
        <f t="shared" si="31"/>
        <v>0</v>
      </c>
      <c r="AO72" s="122">
        <f t="shared" si="31"/>
        <v>0</v>
      </c>
      <c r="AP72" s="122">
        <f t="shared" si="31"/>
        <v>0</v>
      </c>
      <c r="AQ72" s="122">
        <f t="shared" si="31"/>
        <v>0</v>
      </c>
      <c r="AR72" s="122">
        <f t="shared" si="31"/>
        <v>0</v>
      </c>
      <c r="AS72" s="122">
        <f t="shared" si="31"/>
        <v>0</v>
      </c>
      <c r="AT72" s="122">
        <f t="shared" si="31"/>
        <v>0</v>
      </c>
      <c r="AU72" s="122">
        <f t="shared" si="31"/>
        <v>0</v>
      </c>
      <c r="AV72" s="122">
        <f t="shared" si="31"/>
        <v>0</v>
      </c>
      <c r="AW72" s="122">
        <f t="shared" si="31"/>
        <v>0</v>
      </c>
      <c r="AX72" s="122">
        <f t="shared" si="31"/>
        <v>0</v>
      </c>
      <c r="AY72" s="122">
        <f t="shared" si="31"/>
        <v>0</v>
      </c>
      <c r="AZ72" s="122">
        <f t="shared" si="31"/>
        <v>0</v>
      </c>
      <c r="BA72" s="122">
        <f t="shared" si="31"/>
        <v>0</v>
      </c>
      <c r="BB72" s="122">
        <f t="shared" si="31"/>
        <v>0</v>
      </c>
      <c r="BC72" s="122">
        <f t="shared" si="31"/>
        <v>0</v>
      </c>
      <c r="BD72" s="122">
        <f t="shared" si="31"/>
        <v>0</v>
      </c>
      <c r="BE72" s="122">
        <f t="shared" si="31"/>
        <v>0</v>
      </c>
      <c r="BF72" s="122">
        <f t="shared" si="31"/>
        <v>0</v>
      </c>
      <c r="BG72" s="122">
        <f t="shared" si="31"/>
        <v>0</v>
      </c>
      <c r="BH72" s="122">
        <f t="shared" si="31"/>
        <v>0</v>
      </c>
    </row>
    <row r="73" spans="1:61" x14ac:dyDescent="0.2">
      <c r="A73" t="s">
        <v>652</v>
      </c>
      <c r="B73" s="31"/>
      <c r="C73" s="122">
        <f t="shared" ref="C73:G73" si="32" xml:space="preserve"> D74-C74</f>
        <v>0</v>
      </c>
      <c r="D73" s="122">
        <f t="shared" si="32"/>
        <v>0</v>
      </c>
      <c r="E73" s="122">
        <f t="shared" si="32"/>
        <v>0</v>
      </c>
      <c r="F73" s="122">
        <f t="shared" si="32"/>
        <v>0</v>
      </c>
      <c r="G73" s="122">
        <f t="shared" si="32"/>
        <v>1</v>
      </c>
      <c r="H73" s="122">
        <f xml:space="preserve"> I74-H74</f>
        <v>2</v>
      </c>
      <c r="I73" s="122">
        <f t="shared" ref="I73:AL73" si="33" xml:space="preserve"> J74-I74</f>
        <v>2</v>
      </c>
      <c r="J73" s="122">
        <f t="shared" si="33"/>
        <v>3</v>
      </c>
      <c r="K73" s="122">
        <f t="shared" si="33"/>
        <v>3</v>
      </c>
      <c r="L73" s="122">
        <f t="shared" si="33"/>
        <v>5</v>
      </c>
      <c r="M73" s="122">
        <f t="shared" si="33"/>
        <v>6</v>
      </c>
      <c r="N73" s="122">
        <f t="shared" si="33"/>
        <v>6</v>
      </c>
      <c r="O73" s="122">
        <f t="shared" si="33"/>
        <v>6</v>
      </c>
      <c r="P73" s="122">
        <f t="shared" si="33"/>
        <v>6</v>
      </c>
      <c r="Q73" s="122">
        <f t="shared" si="33"/>
        <v>7</v>
      </c>
      <c r="R73" s="122">
        <f t="shared" si="33"/>
        <v>6</v>
      </c>
      <c r="S73" s="122">
        <f t="shared" si="33"/>
        <v>6</v>
      </c>
      <c r="T73" s="122">
        <f t="shared" si="33"/>
        <v>7</v>
      </c>
      <c r="U73" s="122">
        <f t="shared" si="33"/>
        <v>7</v>
      </c>
      <c r="V73" s="122">
        <f t="shared" si="33"/>
        <v>7</v>
      </c>
      <c r="W73" s="122">
        <f t="shared" si="33"/>
        <v>7</v>
      </c>
      <c r="X73" s="122">
        <f t="shared" si="33"/>
        <v>7</v>
      </c>
      <c r="Y73" s="122">
        <f t="shared" si="33"/>
        <v>7</v>
      </c>
      <c r="Z73" s="122">
        <f t="shared" si="33"/>
        <v>8</v>
      </c>
      <c r="AA73" s="122">
        <f t="shared" si="33"/>
        <v>7</v>
      </c>
      <c r="AB73" s="122">
        <f t="shared" si="33"/>
        <v>7</v>
      </c>
      <c r="AC73" s="122">
        <f t="shared" si="33"/>
        <v>7</v>
      </c>
      <c r="AD73" s="122">
        <f t="shared" si="33"/>
        <v>8</v>
      </c>
      <c r="AE73" s="122">
        <f t="shared" si="33"/>
        <v>7</v>
      </c>
      <c r="AF73" s="122">
        <f t="shared" si="33"/>
        <v>8</v>
      </c>
      <c r="AG73" s="122">
        <f t="shared" si="33"/>
        <v>6</v>
      </c>
      <c r="AH73" s="122">
        <f t="shared" si="33"/>
        <v>7</v>
      </c>
      <c r="AI73" s="122">
        <f t="shared" si="33"/>
        <v>7</v>
      </c>
      <c r="AJ73" s="122">
        <f t="shared" si="33"/>
        <v>6</v>
      </c>
      <c r="AK73" s="122">
        <f t="shared" si="33"/>
        <v>7</v>
      </c>
      <c r="AL73" s="122">
        <f t="shared" si="33"/>
        <v>7</v>
      </c>
      <c r="AM73" s="122">
        <v>0</v>
      </c>
      <c r="AN73" s="122">
        <v>0</v>
      </c>
      <c r="AO73" s="122">
        <v>0</v>
      </c>
      <c r="AP73" s="122">
        <v>0</v>
      </c>
      <c r="AQ73" s="122">
        <v>0</v>
      </c>
      <c r="AR73" s="122">
        <v>0</v>
      </c>
      <c r="AS73" s="122">
        <v>0</v>
      </c>
      <c r="AT73" s="122">
        <v>0</v>
      </c>
      <c r="AU73" s="122">
        <v>0</v>
      </c>
      <c r="AV73" s="122">
        <v>0</v>
      </c>
      <c r="AW73" s="122">
        <v>0</v>
      </c>
      <c r="AX73" s="122">
        <v>0</v>
      </c>
      <c r="AY73" s="122">
        <v>0</v>
      </c>
      <c r="AZ73" s="122">
        <v>0</v>
      </c>
      <c r="BA73" s="122">
        <v>0</v>
      </c>
      <c r="BB73" s="122">
        <v>0</v>
      </c>
      <c r="BC73" s="122">
        <v>0</v>
      </c>
      <c r="BD73" s="122">
        <v>0</v>
      </c>
      <c r="BE73" s="122">
        <v>0</v>
      </c>
      <c r="BF73" s="122">
        <v>0</v>
      </c>
      <c r="BG73" s="122">
        <v>0</v>
      </c>
      <c r="BH73" s="122">
        <v>0</v>
      </c>
    </row>
    <row r="74" spans="1:61" x14ac:dyDescent="0.2">
      <c r="A74" t="s">
        <v>653</v>
      </c>
      <c r="B74" s="31"/>
      <c r="C74" s="122">
        <f xml:space="preserve"> ROUNDDOWN(C118/1000,0)</f>
        <v>0</v>
      </c>
      <c r="D74" s="122">
        <f t="shared" ref="D74:BH74" si="34" xml:space="preserve"> ROUNDDOWN(D118/1000,0)</f>
        <v>0</v>
      </c>
      <c r="E74" s="122">
        <f t="shared" si="34"/>
        <v>0</v>
      </c>
      <c r="F74" s="122">
        <f t="shared" si="34"/>
        <v>0</v>
      </c>
      <c r="G74" s="122">
        <f t="shared" si="34"/>
        <v>0</v>
      </c>
      <c r="H74" s="122">
        <f t="shared" si="34"/>
        <v>1</v>
      </c>
      <c r="I74" s="122">
        <f t="shared" si="34"/>
        <v>3</v>
      </c>
      <c r="J74" s="122">
        <f t="shared" si="34"/>
        <v>5</v>
      </c>
      <c r="K74" s="122">
        <f t="shared" si="34"/>
        <v>8</v>
      </c>
      <c r="L74" s="122">
        <f t="shared" si="34"/>
        <v>11</v>
      </c>
      <c r="M74" s="122">
        <f t="shared" si="34"/>
        <v>16</v>
      </c>
      <c r="N74" s="122">
        <f t="shared" si="34"/>
        <v>22</v>
      </c>
      <c r="O74" s="122">
        <f t="shared" si="34"/>
        <v>28</v>
      </c>
      <c r="P74" s="122">
        <f t="shared" si="34"/>
        <v>34</v>
      </c>
      <c r="Q74" s="122">
        <f t="shared" si="34"/>
        <v>40</v>
      </c>
      <c r="R74" s="122">
        <f t="shared" si="34"/>
        <v>47</v>
      </c>
      <c r="S74" s="122">
        <f t="shared" si="34"/>
        <v>53</v>
      </c>
      <c r="T74" s="122">
        <f t="shared" si="34"/>
        <v>59</v>
      </c>
      <c r="U74" s="122">
        <f t="shared" si="34"/>
        <v>66</v>
      </c>
      <c r="V74" s="122">
        <f t="shared" si="34"/>
        <v>73</v>
      </c>
      <c r="W74" s="122">
        <f t="shared" si="34"/>
        <v>80</v>
      </c>
      <c r="X74" s="122">
        <f t="shared" si="34"/>
        <v>87</v>
      </c>
      <c r="Y74" s="122">
        <f t="shared" si="34"/>
        <v>94</v>
      </c>
      <c r="Z74" s="122">
        <f t="shared" si="34"/>
        <v>101</v>
      </c>
      <c r="AA74" s="122">
        <f t="shared" si="34"/>
        <v>109</v>
      </c>
      <c r="AB74" s="122">
        <f t="shared" si="34"/>
        <v>116</v>
      </c>
      <c r="AC74" s="122">
        <f t="shared" si="34"/>
        <v>123</v>
      </c>
      <c r="AD74" s="122">
        <f t="shared" si="34"/>
        <v>130</v>
      </c>
      <c r="AE74" s="122">
        <f t="shared" si="34"/>
        <v>138</v>
      </c>
      <c r="AF74" s="122">
        <f t="shared" si="34"/>
        <v>145</v>
      </c>
      <c r="AG74" s="122">
        <f t="shared" si="34"/>
        <v>153</v>
      </c>
      <c r="AH74" s="122">
        <f t="shared" si="34"/>
        <v>159</v>
      </c>
      <c r="AI74" s="122">
        <f t="shared" si="34"/>
        <v>166</v>
      </c>
      <c r="AJ74" s="122">
        <f t="shared" si="34"/>
        <v>173</v>
      </c>
      <c r="AK74" s="122">
        <f t="shared" si="34"/>
        <v>179</v>
      </c>
      <c r="AL74" s="122">
        <f t="shared" si="34"/>
        <v>186</v>
      </c>
      <c r="AM74" s="122">
        <f t="shared" si="34"/>
        <v>193</v>
      </c>
      <c r="AN74" s="122">
        <f t="shared" si="34"/>
        <v>200</v>
      </c>
      <c r="AO74" s="122">
        <f t="shared" si="34"/>
        <v>207</v>
      </c>
      <c r="AP74" s="122">
        <f t="shared" si="34"/>
        <v>214</v>
      </c>
      <c r="AQ74" s="122">
        <f t="shared" si="34"/>
        <v>221</v>
      </c>
      <c r="AR74" s="122">
        <f t="shared" si="34"/>
        <v>228</v>
      </c>
      <c r="AS74" s="122">
        <f t="shared" si="34"/>
        <v>235</v>
      </c>
      <c r="AT74" s="122">
        <f t="shared" si="34"/>
        <v>242</v>
      </c>
      <c r="AU74" s="122">
        <f t="shared" si="34"/>
        <v>249</v>
      </c>
      <c r="AV74" s="122">
        <f t="shared" si="34"/>
        <v>257</v>
      </c>
      <c r="AW74" s="122">
        <f t="shared" si="34"/>
        <v>264</v>
      </c>
      <c r="AX74" s="122">
        <f t="shared" si="34"/>
        <v>271</v>
      </c>
      <c r="AY74" s="122">
        <f t="shared" si="34"/>
        <v>279</v>
      </c>
      <c r="AZ74" s="122">
        <f t="shared" si="34"/>
        <v>285</v>
      </c>
      <c r="BA74" s="122">
        <f t="shared" si="34"/>
        <v>292</v>
      </c>
      <c r="BB74" s="122">
        <f t="shared" si="34"/>
        <v>298</v>
      </c>
      <c r="BC74" s="122">
        <f t="shared" si="34"/>
        <v>304</v>
      </c>
      <c r="BD74" s="122">
        <f t="shared" si="34"/>
        <v>310</v>
      </c>
      <c r="BE74" s="122">
        <f t="shared" si="34"/>
        <v>315</v>
      </c>
      <c r="BF74" s="122">
        <f t="shared" si="34"/>
        <v>320</v>
      </c>
      <c r="BG74" s="122">
        <f t="shared" si="34"/>
        <v>325</v>
      </c>
      <c r="BH74" s="122">
        <f t="shared" si="34"/>
        <v>330</v>
      </c>
    </row>
    <row r="75" spans="1:61" s="82" customFormat="1" hidden="1" x14ac:dyDescent="0.2">
      <c r="A75" s="82" t="s">
        <v>664</v>
      </c>
      <c r="B75" s="156"/>
      <c r="C75" s="83">
        <f>C73*'Levellized Salt Sep Plant'!$I$4</f>
        <v>0</v>
      </c>
      <c r="D75" s="83">
        <f>D73*'Levellized Salt Sep Plant'!$I$4</f>
        <v>0</v>
      </c>
      <c r="E75" s="83">
        <f>E73*'Levellized Salt Sep Plant'!$I$4</f>
        <v>0</v>
      </c>
      <c r="F75" s="83">
        <f>F73*'Levellized Salt Sep Plant'!$I$4</f>
        <v>0</v>
      </c>
      <c r="G75" s="83">
        <f>G73*'Levellized Salt Sep Plant'!$I$4</f>
        <v>2612359.9775052057</v>
      </c>
      <c r="H75" s="83">
        <f>H73*'Levellized Salt Sep Plant'!$I$4</f>
        <v>5224719.9550104113</v>
      </c>
      <c r="I75" s="83">
        <f>I73*'Levellized Salt Sep Plant'!$I$4</f>
        <v>5224719.9550104113</v>
      </c>
      <c r="J75" s="83">
        <f>J73*'Levellized Salt Sep Plant'!$I$4</f>
        <v>7837079.9325156175</v>
      </c>
      <c r="K75" s="83">
        <f>K73*'Levellized Salt Sep Plant'!$I$4</f>
        <v>7837079.9325156175</v>
      </c>
      <c r="L75" s="83">
        <f>L73*'Levellized Salt Sep Plant'!$I$4</f>
        <v>13061799.887526028</v>
      </c>
      <c r="M75" s="83">
        <f>M73*'Levellized Salt Sep Plant'!$I$4</f>
        <v>15674159.865031235</v>
      </c>
      <c r="N75" s="83">
        <f>N73*'Levellized Salt Sep Plant'!$I$4</f>
        <v>15674159.865031235</v>
      </c>
      <c r="O75" s="83">
        <f>O73*'Levellized Salt Sep Plant'!$I$4</f>
        <v>15674159.865031235</v>
      </c>
      <c r="P75" s="83">
        <f>P73*'Levellized Salt Sep Plant'!$I$4</f>
        <v>15674159.865031235</v>
      </c>
      <c r="Q75" s="83">
        <f>Q73*'Levellized Salt Sep Plant'!$I$4</f>
        <v>18286519.842536438</v>
      </c>
      <c r="R75" s="83">
        <f>R73*'Levellized Salt Sep Plant'!$I$4</f>
        <v>15674159.865031235</v>
      </c>
      <c r="S75" s="83">
        <f>S73*'Levellized Salt Sep Plant'!$I$4</f>
        <v>15674159.865031235</v>
      </c>
      <c r="T75" s="83">
        <f>T73*'Levellized Salt Sep Plant'!$I$4</f>
        <v>18286519.842536438</v>
      </c>
      <c r="U75" s="83">
        <f>U73*'Levellized Salt Sep Plant'!$I$4</f>
        <v>18286519.842536438</v>
      </c>
      <c r="V75" s="83">
        <f>V73*'Levellized Salt Sep Plant'!$I$4</f>
        <v>18286519.842536438</v>
      </c>
      <c r="W75" s="83">
        <f>W73*'Levellized Salt Sep Plant'!$I$4</f>
        <v>18286519.842536438</v>
      </c>
      <c r="X75" s="83">
        <f>X73*'Levellized Salt Sep Plant'!$I$4</f>
        <v>18286519.842536438</v>
      </c>
      <c r="Y75" s="83">
        <f>Y73*'Levellized Salt Sep Plant'!$I$4</f>
        <v>18286519.842536438</v>
      </c>
      <c r="Z75" s="83">
        <f>Z73*'Levellized Salt Sep Plant'!$I$4</f>
        <v>20898879.820041645</v>
      </c>
      <c r="AA75" s="83">
        <f>AA73*'Levellized Salt Sep Plant'!$I$4</f>
        <v>18286519.842536438</v>
      </c>
      <c r="AB75" s="83">
        <f>AB73*'Levellized Salt Sep Plant'!$I$4</f>
        <v>18286519.842536438</v>
      </c>
      <c r="AC75" s="83">
        <f>AC73*'Levellized Salt Sep Plant'!$I$4</f>
        <v>18286519.842536438</v>
      </c>
      <c r="AD75" s="83">
        <f>AD73*'Levellized Salt Sep Plant'!$I$4</f>
        <v>20898879.820041645</v>
      </c>
      <c r="AE75" s="83">
        <f>AE73*'Levellized Salt Sep Plant'!$I$4</f>
        <v>18286519.842536438</v>
      </c>
      <c r="AF75" s="83">
        <f>AF73*'Levellized Salt Sep Plant'!$I$4</f>
        <v>20898879.820041645</v>
      </c>
      <c r="AG75" s="83">
        <f>AG73*'Levellized Salt Sep Plant'!$I$4</f>
        <v>15674159.865031235</v>
      </c>
      <c r="AH75" s="83">
        <f>AH73*'Levellized Salt Sep Plant'!$I$4</f>
        <v>18286519.842536438</v>
      </c>
      <c r="AI75" s="83">
        <f>AI73*'Levellized Salt Sep Plant'!$I$4</f>
        <v>18286519.842536438</v>
      </c>
      <c r="AJ75" s="83">
        <f>AJ73*'Levellized Salt Sep Plant'!$I$4</f>
        <v>15674159.865031235</v>
      </c>
      <c r="AK75" s="83">
        <f>AK73*'Levellized Salt Sep Plant'!$I$4</f>
        <v>18286519.842536438</v>
      </c>
      <c r="AL75" s="83">
        <f>AL73*'Levellized Salt Sep Plant'!$I$4</f>
        <v>18286519.842536438</v>
      </c>
      <c r="AM75" s="83">
        <f>AM73*'Levellized Salt Sep Plant'!$I$4</f>
        <v>0</v>
      </c>
      <c r="AN75" s="83">
        <f>AN73*'Levellized Salt Sep Plant'!$I$4</f>
        <v>0</v>
      </c>
      <c r="AO75" s="83">
        <f>AO73*'Levellized Salt Sep Plant'!$I$4</f>
        <v>0</v>
      </c>
      <c r="AP75" s="83">
        <f>AP73*'Levellized Salt Sep Plant'!$I$4</f>
        <v>0</v>
      </c>
      <c r="AQ75" s="83">
        <f>AQ73*'Levellized Salt Sep Plant'!$I$4</f>
        <v>0</v>
      </c>
      <c r="AR75" s="83">
        <f>AR73*'Levellized Salt Sep Plant'!$I$4</f>
        <v>0</v>
      </c>
      <c r="AS75" s="83">
        <f>AS73*'Levellized Salt Sep Plant'!$I$4</f>
        <v>0</v>
      </c>
      <c r="AT75" s="83">
        <f>AT73*'Levellized Salt Sep Plant'!$I$4</f>
        <v>0</v>
      </c>
      <c r="AU75" s="83">
        <f>AU73*'Levellized Salt Sep Plant'!$I$4</f>
        <v>0</v>
      </c>
      <c r="AV75" s="83">
        <f>AV73*'Levellized Salt Sep Plant'!$I$4</f>
        <v>0</v>
      </c>
      <c r="AW75" s="83">
        <f>AW73*'Levellized Salt Sep Plant'!$I$4</f>
        <v>0</v>
      </c>
      <c r="AX75" s="83">
        <f>AX73*'Levellized Salt Sep Plant'!$I$4</f>
        <v>0</v>
      </c>
      <c r="AY75" s="83">
        <f>AY73*'Levellized Salt Sep Plant'!$I$4</f>
        <v>0</v>
      </c>
      <c r="AZ75" s="83">
        <f>AZ73*'Levellized Salt Sep Plant'!$I$4</f>
        <v>0</v>
      </c>
      <c r="BA75" s="83">
        <f>BA73*'Levellized Salt Sep Plant'!$I$4</f>
        <v>0</v>
      </c>
      <c r="BB75" s="83">
        <f>BB73*'Levellized Salt Sep Plant'!$I$4</f>
        <v>0</v>
      </c>
      <c r="BC75" s="83">
        <f>BC73*'Levellized Salt Sep Plant'!$I$4</f>
        <v>0</v>
      </c>
      <c r="BD75" s="83">
        <f>BD73*'Levellized Salt Sep Plant'!$I$4</f>
        <v>0</v>
      </c>
      <c r="BE75" s="83">
        <f>BE73*'Levellized Salt Sep Plant'!$I$4</f>
        <v>0</v>
      </c>
      <c r="BF75" s="83">
        <f>BF73*'Levellized Salt Sep Plant'!$I$4</f>
        <v>0</v>
      </c>
      <c r="BG75" s="83">
        <f>BG73*'Levellized Salt Sep Plant'!$I$4</f>
        <v>0</v>
      </c>
      <c r="BH75" s="83">
        <f>BH73*'Levellized Salt Sep Plant'!$I$4</f>
        <v>0</v>
      </c>
      <c r="BI75" s="83"/>
    </row>
    <row r="76" spans="1:61" s="82" customFormat="1" hidden="1" x14ac:dyDescent="0.2">
      <c r="A76" s="82" t="s">
        <v>665</v>
      </c>
      <c r="B76" s="156"/>
      <c r="C76" s="83">
        <f>C74*'Levellized Salt Sep Plant'!$I$25</f>
        <v>0</v>
      </c>
      <c r="D76" s="83">
        <f>D74*'Levellized Salt Sep Plant'!$I$25</f>
        <v>0</v>
      </c>
      <c r="E76" s="83">
        <f>E74*'Levellized Salt Sep Plant'!$I$25</f>
        <v>0</v>
      </c>
      <c r="F76" s="83">
        <f>F74*'Levellized Salt Sep Plant'!$I$25</f>
        <v>0</v>
      </c>
      <c r="G76" s="83">
        <f>G74*'Levellized Salt Sep Plant'!$I$25</f>
        <v>0</v>
      </c>
      <c r="H76" s="83">
        <f>H74*'Levellized Salt Sep Plant'!$I$25</f>
        <v>299944.03761291725</v>
      </c>
      <c r="I76" s="83">
        <f>I74*'Levellized Salt Sep Plant'!$I$25</f>
        <v>899832.11283875175</v>
      </c>
      <c r="J76" s="83">
        <f>J74*'Levellized Salt Sep Plant'!$I$25</f>
        <v>1499720.1880645864</v>
      </c>
      <c r="K76" s="83">
        <f>K74*'Levellized Salt Sep Plant'!$I$25</f>
        <v>2399552.300903338</v>
      </c>
      <c r="L76" s="83">
        <f>L74*'Levellized Salt Sep Plant'!$I$25</f>
        <v>3299384.4137420896</v>
      </c>
      <c r="M76" s="83">
        <f>M74*'Levellized Salt Sep Plant'!$I$25</f>
        <v>4799104.601806676</v>
      </c>
      <c r="N76" s="83">
        <f>N74*'Levellized Salt Sep Plant'!$I$25</f>
        <v>6598768.8274841793</v>
      </c>
      <c r="O76" s="83">
        <f>O74*'Levellized Salt Sep Plant'!$I$25</f>
        <v>8398433.0531616826</v>
      </c>
      <c r="P76" s="83">
        <f>P74*'Levellized Salt Sep Plant'!$I$25</f>
        <v>10198097.278839186</v>
      </c>
      <c r="Q76" s="83">
        <f>Q74*'Levellized Salt Sep Plant'!$I$25</f>
        <v>11997761.504516691</v>
      </c>
      <c r="R76" s="83">
        <f>R74*'Levellized Salt Sep Plant'!$I$25</f>
        <v>14097369.767807111</v>
      </c>
      <c r="S76" s="83">
        <f>S74*'Levellized Salt Sep Plant'!$I$25</f>
        <v>15897033.993484614</v>
      </c>
      <c r="T76" s="83">
        <f>T74*'Levellized Salt Sep Plant'!$I$25</f>
        <v>17696698.219162118</v>
      </c>
      <c r="U76" s="83">
        <f>U74*'Levellized Salt Sep Plant'!$I$25</f>
        <v>19796306.482452538</v>
      </c>
      <c r="V76" s="83">
        <f>V74*'Levellized Salt Sep Plant'!$I$25</f>
        <v>21895914.745742958</v>
      </c>
      <c r="W76" s="83">
        <f>W74*'Levellized Salt Sep Plant'!$I$25</f>
        <v>23995523.009033382</v>
      </c>
      <c r="X76" s="83">
        <f>X74*'Levellized Salt Sep Plant'!$I$25</f>
        <v>26095131.272323802</v>
      </c>
      <c r="Y76" s="83">
        <f>Y74*'Levellized Salt Sep Plant'!$I$25</f>
        <v>28194739.535614222</v>
      </c>
      <c r="Z76" s="83">
        <f>Z74*'Levellized Salt Sep Plant'!$I$25</f>
        <v>30294347.798904642</v>
      </c>
      <c r="AA76" s="83">
        <f>AA74*'Levellized Salt Sep Plant'!$I$25</f>
        <v>32693900.099807981</v>
      </c>
      <c r="AB76" s="83">
        <f>AB74*'Levellized Salt Sep Plant'!$I$25</f>
        <v>34793508.363098398</v>
      </c>
      <c r="AC76" s="83">
        <f>AC74*'Levellized Salt Sep Plant'!$I$25</f>
        <v>36893116.626388825</v>
      </c>
      <c r="AD76" s="83">
        <f>AD74*'Levellized Salt Sep Plant'!$I$25</f>
        <v>38992724.889679246</v>
      </c>
      <c r="AE76" s="83">
        <f>AE74*'Levellized Salt Sep Plant'!$I$25</f>
        <v>41392277.190582581</v>
      </c>
      <c r="AF76" s="83">
        <f>AF74*'Levellized Salt Sep Plant'!$I$25</f>
        <v>43491885.453873001</v>
      </c>
      <c r="AG76" s="83">
        <f>AG74*'Levellized Salt Sep Plant'!$I$25</f>
        <v>45891437.754776336</v>
      </c>
      <c r="AH76" s="83">
        <f>AH74*'Levellized Salt Sep Plant'!$I$25</f>
        <v>47691101.980453841</v>
      </c>
      <c r="AI76" s="83">
        <f>AI74*'Levellized Salt Sep Plant'!$I$25</f>
        <v>49790710.243744262</v>
      </c>
      <c r="AJ76" s="83">
        <f>AJ74*'Levellized Salt Sep Plant'!$I$25</f>
        <v>51890318.507034682</v>
      </c>
      <c r="AK76" s="83">
        <f>AK74*'Levellized Salt Sep Plant'!$I$25</f>
        <v>53689982.732712187</v>
      </c>
      <c r="AL76" s="83">
        <f>AL74*'Levellized Salt Sep Plant'!$I$25</f>
        <v>55789590.996002607</v>
      </c>
      <c r="AM76" s="83">
        <f>AM74*'Levellized Salt Sep Plant'!$I$25</f>
        <v>57889199.259293027</v>
      </c>
      <c r="AN76" s="83">
        <f>AN74*'Levellized Salt Sep Plant'!$I$25</f>
        <v>59988807.522583447</v>
      </c>
      <c r="AO76" s="83">
        <f>AO74*'Levellized Salt Sep Plant'!$I$25</f>
        <v>62088415.785873868</v>
      </c>
      <c r="AP76" s="83">
        <f>AP74*'Levellized Salt Sep Plant'!$I$25</f>
        <v>64188024.049164295</v>
      </c>
      <c r="AQ76" s="83">
        <f>AQ74*'Levellized Salt Sep Plant'!$I$25</f>
        <v>66287632.312454715</v>
      </c>
      <c r="AR76" s="83">
        <f>AR74*'Levellized Salt Sep Plant'!$I$25</f>
        <v>68387240.575745136</v>
      </c>
      <c r="AS76" s="83">
        <f>AS74*'Levellized Salt Sep Plant'!$I$25</f>
        <v>70486848.839035556</v>
      </c>
      <c r="AT76" s="83">
        <f>AT74*'Levellized Salt Sep Plant'!$I$25</f>
        <v>72586457.102325976</v>
      </c>
      <c r="AU76" s="83">
        <f>AU74*'Levellized Salt Sep Plant'!$I$25</f>
        <v>74686065.365616396</v>
      </c>
      <c r="AV76" s="83">
        <f>AV74*'Levellized Salt Sep Plant'!$I$25</f>
        <v>77085617.666519731</v>
      </c>
      <c r="AW76" s="83">
        <f>AW74*'Levellized Salt Sep Plant'!$I$25</f>
        <v>79185225.929810151</v>
      </c>
      <c r="AX76" s="83">
        <f>AX74*'Levellized Salt Sep Plant'!$I$25</f>
        <v>81284834.193100572</v>
      </c>
      <c r="AY76" s="83">
        <f>AY74*'Levellized Salt Sep Plant'!$I$25</f>
        <v>83684386.494003907</v>
      </c>
      <c r="AZ76" s="83">
        <f>AZ74*'Levellized Salt Sep Plant'!$I$25</f>
        <v>85484050.719681412</v>
      </c>
      <c r="BA76" s="83">
        <f>BA74*'Levellized Salt Sep Plant'!$I$25</f>
        <v>87583658.982971832</v>
      </c>
      <c r="BB76" s="83">
        <f>BB74*'Levellized Salt Sep Plant'!$I$25</f>
        <v>89383323.208649337</v>
      </c>
      <c r="BC76" s="83">
        <f>BC74*'Levellized Salt Sep Plant'!$I$25</f>
        <v>91182987.434326842</v>
      </c>
      <c r="BD76" s="83">
        <f>BD74*'Levellized Salt Sep Plant'!$I$25</f>
        <v>92982651.660004348</v>
      </c>
      <c r="BE76" s="83">
        <f>BE74*'Levellized Salt Sep Plant'!$I$25</f>
        <v>94482371.848068938</v>
      </c>
      <c r="BF76" s="83">
        <f>BF74*'Levellized Salt Sep Plant'!$I$25</f>
        <v>95982092.036133528</v>
      </c>
      <c r="BG76" s="83">
        <f>BG74*'Levellized Salt Sep Plant'!$I$25</f>
        <v>97481812.224198103</v>
      </c>
      <c r="BH76" s="83">
        <f>BH74*'Levellized Salt Sep Plant'!$I$25</f>
        <v>98981532.412262693</v>
      </c>
      <c r="BI76" s="83"/>
    </row>
    <row r="77" spans="1:61" s="82" customFormat="1" hidden="1" x14ac:dyDescent="0.2">
      <c r="A77" s="82" t="s">
        <v>745</v>
      </c>
      <c r="B77" s="156"/>
      <c r="C77" s="83">
        <f>C74*'Levellized Salt Sep Plant'!$I$30</f>
        <v>0</v>
      </c>
      <c r="D77" s="83">
        <f>D74*'Levellized Salt Sep Plant'!$I$30</f>
        <v>0</v>
      </c>
      <c r="E77" s="83">
        <f>E74*'Levellized Salt Sep Plant'!$I$30</f>
        <v>0</v>
      </c>
      <c r="F77" s="83">
        <f>F74*'Levellized Salt Sep Plant'!$I$30</f>
        <v>0</v>
      </c>
      <c r="G77" s="83">
        <f>G74*'Levellized Salt Sep Plant'!$I$30</f>
        <v>0</v>
      </c>
      <c r="H77" s="83">
        <f>H74*'Levellized Salt Sep Plant'!$I$30</f>
        <v>123193.67181919048</v>
      </c>
      <c r="I77" s="83">
        <f>I74*'Levellized Salt Sep Plant'!$I$30</f>
        <v>369581.01545757143</v>
      </c>
      <c r="J77" s="83">
        <f>J74*'Levellized Salt Sep Plant'!$I$30</f>
        <v>615968.35909595236</v>
      </c>
      <c r="K77" s="83">
        <f>K74*'Levellized Salt Sep Plant'!$I$30</f>
        <v>985549.37455352384</v>
      </c>
      <c r="L77" s="83">
        <f>L74*'Levellized Salt Sep Plant'!$I$30</f>
        <v>1355130.3900110952</v>
      </c>
      <c r="M77" s="83">
        <f>M74*'Levellized Salt Sep Plant'!$I$30</f>
        <v>1971098.7491070477</v>
      </c>
      <c r="N77" s="83">
        <f>N74*'Levellized Salt Sep Plant'!$I$30</f>
        <v>2710260.7800221904</v>
      </c>
      <c r="O77" s="83">
        <f>O74*'Levellized Salt Sep Plant'!$I$30</f>
        <v>3449422.8109373334</v>
      </c>
      <c r="P77" s="83">
        <f>P74*'Levellized Salt Sep Plant'!$I$30</f>
        <v>4188584.8418524764</v>
      </c>
      <c r="Q77" s="83">
        <f>Q74*'Levellized Salt Sep Plant'!$I$30</f>
        <v>4927746.8727676189</v>
      </c>
      <c r="R77" s="83">
        <f>R74*'Levellized Salt Sep Plant'!$I$30</f>
        <v>5790102.5755019523</v>
      </c>
      <c r="S77" s="83">
        <f>S74*'Levellized Salt Sep Plant'!$I$30</f>
        <v>6529264.6064170953</v>
      </c>
      <c r="T77" s="83">
        <f>T74*'Levellized Salt Sep Plant'!$I$30</f>
        <v>7268426.6373322383</v>
      </c>
      <c r="U77" s="83">
        <f>U74*'Levellized Salt Sep Plant'!$I$30</f>
        <v>8130782.3400665717</v>
      </c>
      <c r="V77" s="83">
        <f>V74*'Levellized Salt Sep Plant'!$I$30</f>
        <v>8993138.0428009052</v>
      </c>
      <c r="W77" s="83">
        <f>W74*'Levellized Salt Sep Plant'!$I$30</f>
        <v>9855493.7455352377</v>
      </c>
      <c r="X77" s="83">
        <f>X74*'Levellized Salt Sep Plant'!$I$30</f>
        <v>10717849.448269572</v>
      </c>
      <c r="Y77" s="83">
        <f>Y74*'Levellized Salt Sep Plant'!$I$30</f>
        <v>11580205.151003905</v>
      </c>
      <c r="Z77" s="83">
        <f>Z74*'Levellized Salt Sep Plant'!$I$30</f>
        <v>12442560.853738239</v>
      </c>
      <c r="AA77" s="83">
        <f>AA74*'Levellized Salt Sep Plant'!$I$30</f>
        <v>13428110.228291763</v>
      </c>
      <c r="AB77" s="83">
        <f>AB74*'Levellized Salt Sep Plant'!$I$30</f>
        <v>14290465.931026096</v>
      </c>
      <c r="AC77" s="83">
        <f>AC74*'Levellized Salt Sep Plant'!$I$30</f>
        <v>15152821.63376043</v>
      </c>
      <c r="AD77" s="83">
        <f>AD74*'Levellized Salt Sep Plant'!$I$30</f>
        <v>16015177.336494762</v>
      </c>
      <c r="AE77" s="83">
        <f>AE74*'Levellized Salt Sep Plant'!$I$30</f>
        <v>17000726.711048286</v>
      </c>
      <c r="AF77" s="83">
        <f>AF74*'Levellized Salt Sep Plant'!$I$30</f>
        <v>17863082.413782619</v>
      </c>
      <c r="AG77" s="83">
        <f>AG74*'Levellized Salt Sep Plant'!$I$30</f>
        <v>18848631.788336143</v>
      </c>
      <c r="AH77" s="83">
        <f>AH74*'Levellized Salt Sep Plant'!$I$30</f>
        <v>19587793.819251288</v>
      </c>
      <c r="AI77" s="83">
        <f>AI74*'Levellized Salt Sep Plant'!$I$30</f>
        <v>20450149.52198562</v>
      </c>
      <c r="AJ77" s="83">
        <f>AJ74*'Levellized Salt Sep Plant'!$I$30</f>
        <v>21312505.224719953</v>
      </c>
      <c r="AK77" s="83">
        <f>AK74*'Levellized Salt Sep Plant'!$I$30</f>
        <v>22051667.255635098</v>
      </c>
      <c r="AL77" s="83">
        <f>AL74*'Levellized Salt Sep Plant'!$I$30</f>
        <v>22914022.95836943</v>
      </c>
      <c r="AM77" s="83">
        <f>AM74*'Levellized Salt Sep Plant'!$I$30</f>
        <v>23776378.661103763</v>
      </c>
      <c r="AN77" s="83">
        <f>AN74*'Levellized Salt Sep Plant'!$I$30</f>
        <v>24638734.363838095</v>
      </c>
      <c r="AO77" s="83">
        <f>AO74*'Levellized Salt Sep Plant'!$I$30</f>
        <v>25501090.066572428</v>
      </c>
      <c r="AP77" s="83">
        <f>AP74*'Levellized Salt Sep Plant'!$I$30</f>
        <v>26363445.769306764</v>
      </c>
      <c r="AQ77" s="83">
        <f>AQ74*'Levellized Salt Sep Plant'!$I$30</f>
        <v>27225801.472041097</v>
      </c>
      <c r="AR77" s="83">
        <f>AR74*'Levellized Salt Sep Plant'!$I$30</f>
        <v>28088157.174775429</v>
      </c>
      <c r="AS77" s="83">
        <f>AS74*'Levellized Salt Sep Plant'!$I$30</f>
        <v>28950512.877509762</v>
      </c>
      <c r="AT77" s="83">
        <f>AT74*'Levellized Salt Sep Plant'!$I$30</f>
        <v>29812868.580244098</v>
      </c>
      <c r="AU77" s="83">
        <f>AU74*'Levellized Salt Sep Plant'!$I$30</f>
        <v>30675224.28297843</v>
      </c>
      <c r="AV77" s="83">
        <f>AV74*'Levellized Salt Sep Plant'!$I$30</f>
        <v>31660773.657531954</v>
      </c>
      <c r="AW77" s="83">
        <f>AW74*'Levellized Salt Sep Plant'!$I$30</f>
        <v>32523129.360266287</v>
      </c>
      <c r="AX77" s="83">
        <f>AX74*'Levellized Salt Sep Plant'!$I$30</f>
        <v>33385485.063000619</v>
      </c>
      <c r="AY77" s="83">
        <f>AY74*'Levellized Salt Sep Plant'!$I$30</f>
        <v>34371034.437554143</v>
      </c>
      <c r="AZ77" s="83">
        <f>AZ74*'Levellized Salt Sep Plant'!$I$30</f>
        <v>35110196.468469284</v>
      </c>
      <c r="BA77" s="83">
        <f>BA74*'Levellized Salt Sep Plant'!$I$30</f>
        <v>35972552.171203621</v>
      </c>
      <c r="BB77" s="83">
        <f>BB74*'Levellized Salt Sep Plant'!$I$30</f>
        <v>36711714.202118762</v>
      </c>
      <c r="BC77" s="83">
        <f>BC74*'Levellized Salt Sep Plant'!$I$30</f>
        <v>37450876.233033903</v>
      </c>
      <c r="BD77" s="83">
        <f>BD74*'Levellized Salt Sep Plant'!$I$30</f>
        <v>38190038.263949051</v>
      </c>
      <c r="BE77" s="83">
        <f>BE74*'Levellized Salt Sep Plant'!$I$30</f>
        <v>38806006.623045005</v>
      </c>
      <c r="BF77" s="83">
        <f>BF74*'Levellized Salt Sep Plant'!$I$30</f>
        <v>39421974.982140951</v>
      </c>
      <c r="BG77" s="83">
        <f>BG74*'Levellized Salt Sep Plant'!$I$30</f>
        <v>40037943.341236904</v>
      </c>
      <c r="BH77" s="83">
        <f>BH74*'Levellized Salt Sep Plant'!$I$30</f>
        <v>40653911.700332858</v>
      </c>
      <c r="BI77" s="83"/>
    </row>
    <row r="78" spans="1:61" x14ac:dyDescent="0.2">
      <c r="B78" s="3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</row>
    <row r="79" spans="1:61" x14ac:dyDescent="0.2">
      <c r="A79" t="s">
        <v>732</v>
      </c>
      <c r="B79" s="31"/>
      <c r="C79" s="107">
        <f t="shared" ref="C79:BH79" si="35" xml:space="preserve"> IF(C74 &gt; 0, C90/(C90+C80), 0)</f>
        <v>0</v>
      </c>
      <c r="D79" s="107">
        <f t="shared" si="35"/>
        <v>0</v>
      </c>
      <c r="E79" s="107">
        <f t="shared" si="35"/>
        <v>0</v>
      </c>
      <c r="F79" s="107">
        <f t="shared" si="35"/>
        <v>0</v>
      </c>
      <c r="G79" s="107">
        <f t="shared" si="35"/>
        <v>0</v>
      </c>
      <c r="H79" s="107">
        <f t="shared" si="35"/>
        <v>1</v>
      </c>
      <c r="I79" s="107">
        <f t="shared" si="35"/>
        <v>1</v>
      </c>
      <c r="J79" s="107">
        <f t="shared" si="35"/>
        <v>1</v>
      </c>
      <c r="K79" s="107">
        <f t="shared" si="35"/>
        <v>1</v>
      </c>
      <c r="L79" s="107">
        <f t="shared" si="35"/>
        <v>1</v>
      </c>
      <c r="M79" s="107">
        <f t="shared" si="35"/>
        <v>1</v>
      </c>
      <c r="N79" s="107">
        <f t="shared" si="35"/>
        <v>1</v>
      </c>
      <c r="O79" s="107">
        <f t="shared" si="35"/>
        <v>1</v>
      </c>
      <c r="P79" s="107">
        <f t="shared" si="35"/>
        <v>1</v>
      </c>
      <c r="Q79" s="107">
        <f t="shared" si="35"/>
        <v>1</v>
      </c>
      <c r="R79" s="107">
        <f t="shared" si="35"/>
        <v>1</v>
      </c>
      <c r="S79" s="107">
        <f t="shared" si="35"/>
        <v>0.97342313414099535</v>
      </c>
      <c r="T79" s="107">
        <f t="shared" si="35"/>
        <v>0.94730019692534717</v>
      </c>
      <c r="U79" s="107">
        <f t="shared" si="35"/>
        <v>0.91196965345027592</v>
      </c>
      <c r="V79" s="107">
        <f t="shared" si="35"/>
        <v>0.8245205085988796</v>
      </c>
      <c r="W79" s="107">
        <f t="shared" si="35"/>
        <v>0.75237496409647764</v>
      </c>
      <c r="X79" s="107">
        <f t="shared" si="35"/>
        <v>0.69183904744503688</v>
      </c>
      <c r="Y79" s="107">
        <f t="shared" si="35"/>
        <v>0.64031911837998101</v>
      </c>
      <c r="Z79" s="107">
        <f t="shared" si="35"/>
        <v>0.59594056562097242</v>
      </c>
      <c r="AA79" s="107">
        <f t="shared" si="35"/>
        <v>0.59164479483340315</v>
      </c>
      <c r="AB79" s="107">
        <f t="shared" si="35"/>
        <v>0.55594209169690467</v>
      </c>
      <c r="AC79" s="107">
        <f t="shared" si="35"/>
        <v>0.52430311086862558</v>
      </c>
      <c r="AD79" s="107">
        <f t="shared" si="35"/>
        <v>0.49607140489877644</v>
      </c>
      <c r="AE79" s="107">
        <f t="shared" si="35"/>
        <v>0.46731364229594879</v>
      </c>
      <c r="AF79" s="107">
        <f t="shared" si="35"/>
        <v>0.44475367335752369</v>
      </c>
      <c r="AG79" s="107">
        <f t="shared" si="35"/>
        <v>0.42149857932575774</v>
      </c>
      <c r="AH79" s="107">
        <f t="shared" si="35"/>
        <v>0.43263250406266457</v>
      </c>
      <c r="AI79" s="107">
        <f t="shared" si="35"/>
        <v>0.41438896473472092</v>
      </c>
      <c r="AJ79" s="107">
        <f t="shared" si="35"/>
        <v>0.39762178119054142</v>
      </c>
      <c r="AK79" s="107">
        <f t="shared" si="35"/>
        <v>0.38429367679309312</v>
      </c>
      <c r="AL79" s="107">
        <f t="shared" si="35"/>
        <v>0.36983101153743908</v>
      </c>
      <c r="AM79" s="107">
        <f t="shared" si="35"/>
        <v>0.35641745153349053</v>
      </c>
      <c r="AN79" s="107">
        <f t="shared" si="35"/>
        <v>0.36543926827543199</v>
      </c>
      <c r="AO79" s="107">
        <f t="shared" si="35"/>
        <v>0.35308141862360576</v>
      </c>
      <c r="AP79" s="107">
        <f t="shared" si="35"/>
        <v>0.34153202642563735</v>
      </c>
      <c r="AQ79" s="107">
        <f t="shared" si="35"/>
        <v>0.33071426993251762</v>
      </c>
      <c r="AR79" s="107">
        <f t="shared" si="35"/>
        <v>0.32056076164511577</v>
      </c>
      <c r="AS79" s="107">
        <f t="shared" si="35"/>
        <v>0.31101214321313364</v>
      </c>
      <c r="AT79" s="107">
        <f t="shared" si="35"/>
        <v>0.30201592419457185</v>
      </c>
      <c r="AU79" s="107">
        <f t="shared" si="35"/>
        <v>0.31079172355104068</v>
      </c>
      <c r="AV79" s="107">
        <f t="shared" si="35"/>
        <v>0.30111727301248686</v>
      </c>
      <c r="AW79" s="107">
        <f t="shared" si="35"/>
        <v>0.29313310289473155</v>
      </c>
      <c r="AX79" s="107">
        <f t="shared" si="35"/>
        <v>0.28556139912992295</v>
      </c>
      <c r="AY79" s="107">
        <f t="shared" si="35"/>
        <v>0.27737325865307932</v>
      </c>
      <c r="AZ79" s="107">
        <f t="shared" si="35"/>
        <v>0.27153382162880396</v>
      </c>
      <c r="BA79" s="107">
        <f t="shared" si="35"/>
        <v>0.27974802970319129</v>
      </c>
      <c r="BB79" s="107">
        <f t="shared" si="35"/>
        <v>0.27411551903802639</v>
      </c>
      <c r="BC79" s="107">
        <f t="shared" si="35"/>
        <v>0.26870534432017062</v>
      </c>
      <c r="BD79" s="107">
        <f t="shared" si="35"/>
        <v>0.26350459572042534</v>
      </c>
      <c r="BE79" s="107">
        <f t="shared" si="35"/>
        <v>0.25932198308994242</v>
      </c>
      <c r="BF79" s="107">
        <f t="shared" si="35"/>
        <v>0.25527007710416205</v>
      </c>
      <c r="BG79" s="107">
        <f t="shared" si="35"/>
        <v>0.25134284514871341</v>
      </c>
      <c r="BH79" s="107">
        <f t="shared" si="35"/>
        <v>0.26056275812865026</v>
      </c>
      <c r="BI79" s="107"/>
    </row>
    <row r="80" spans="1:61" x14ac:dyDescent="0.2">
      <c r="A80" t="s">
        <v>733</v>
      </c>
      <c r="B80" s="31"/>
      <c r="C80" s="5">
        <f>IF((C74*'Levellized Salt Sep Plant'!$I$39-C90)&gt;0,(C74*'Levellized Salt Sep Plant'!$I$39-C90),0)</f>
        <v>0</v>
      </c>
      <c r="D80" s="5">
        <f>IF((D74*'Levellized Salt Sep Plant'!$I$39-D90)&gt;0,(D74*'Levellized Salt Sep Plant'!$I$39-D90),0)</f>
        <v>0</v>
      </c>
      <c r="E80" s="5">
        <f>IF((E74*'Levellized Salt Sep Plant'!$I$39-E90)&gt;0,(E74*'Levellized Salt Sep Plant'!$I$39-E90),0)</f>
        <v>0</v>
      </c>
      <c r="F80" s="5">
        <f>IF((F74*'Levellized Salt Sep Plant'!$I$39-F90)&gt;0,(F74*'Levellized Salt Sep Plant'!$I$39-F90),0)</f>
        <v>0</v>
      </c>
      <c r="G80" s="5">
        <f>IF((G74*'Levellized Salt Sep Plant'!$I$39-G90)&gt;0,(G74*'Levellized Salt Sep Plant'!$I$39-G90),0)</f>
        <v>0</v>
      </c>
      <c r="H80" s="5">
        <f>IF((H74*'Levellized Salt Sep Plant'!$I$39-H90)&gt;0,(H74*'Levellized Salt Sep Plant'!$I$39-H90),0)</f>
        <v>0</v>
      </c>
      <c r="I80" s="5">
        <f>IF((I74*'Levellized Salt Sep Plant'!$I$39-I90)&gt;0,(I74*'Levellized Salt Sep Plant'!$I$39-I90),0)</f>
        <v>0</v>
      </c>
      <c r="J80" s="5">
        <f>IF((J74*'Levellized Salt Sep Plant'!$I$39-J90)&gt;0,(J74*'Levellized Salt Sep Plant'!$I$39-J90),0)</f>
        <v>0</v>
      </c>
      <c r="K80" s="5">
        <f>IF((K74*'Levellized Salt Sep Plant'!$I$39-K90)&gt;0,(K74*'Levellized Salt Sep Plant'!$I$39-K90),0)</f>
        <v>0</v>
      </c>
      <c r="L80" s="5">
        <f>IF((L74*'Levellized Salt Sep Plant'!$I$39-L90)&gt;0,(L74*'Levellized Salt Sep Plant'!$I$39-L90),0)</f>
        <v>0</v>
      </c>
      <c r="M80" s="5">
        <f>IF((M74*'Levellized Salt Sep Plant'!$I$39-M90)&gt;0,(M74*'Levellized Salt Sep Plant'!$I$39-M90),0)</f>
        <v>0</v>
      </c>
      <c r="N80" s="5">
        <f>IF((N74*'Levellized Salt Sep Plant'!$I$39-N90)&gt;0,(N74*'Levellized Salt Sep Plant'!$I$39-N90),0)</f>
        <v>0</v>
      </c>
      <c r="O80" s="5">
        <f>IF((O74*'Levellized Salt Sep Plant'!$I$39-O90)&gt;0,(O74*'Levellized Salt Sep Plant'!$I$39-O90),0)</f>
        <v>0</v>
      </c>
      <c r="P80" s="5">
        <f>IF((P74*'Levellized Salt Sep Plant'!$I$39-P90)&gt;0,(P74*'Levellized Salt Sep Plant'!$I$39-P90),0)</f>
        <v>0</v>
      </c>
      <c r="Q80" s="5">
        <f>IF((Q74*'Levellized Salt Sep Plant'!$I$39-Q90)&gt;0,(Q74*'Levellized Salt Sep Plant'!$I$39-Q90),0)</f>
        <v>0</v>
      </c>
      <c r="R80" s="5">
        <f>IF((R74*'Levellized Salt Sep Plant'!$I$39-R90)&gt;0,(R74*'Levellized Salt Sep Plant'!$I$39-R90),0)</f>
        <v>0</v>
      </c>
      <c r="S80" s="5">
        <f>IF((S74*'Levellized Salt Sep Plant'!$I$39-S90)&gt;0,(S74*'Levellized Salt Sep Plant'!$I$39-S90),0)</f>
        <v>28401.405041833641</v>
      </c>
      <c r="T80" s="5">
        <f>IF((T74*'Levellized Salt Sep Plant'!$I$39-T90)&gt;0,(T74*'Levellized Salt Sep Plant'!$I$39-T90),0)</f>
        <v>62693.309386192122</v>
      </c>
      <c r="U80" s="5">
        <f>IF((U74*'Levellized Salt Sep Plant'!$I$39-U90)&gt;0,(U74*'Levellized Salt Sep Plant'!$I$39-U90),0)</f>
        <v>117148.44778794376</v>
      </c>
      <c r="V80" s="5">
        <f>IF((V74*'Levellized Salt Sep Plant'!$I$39-V90)&gt;0,(V74*'Levellized Salt Sep Plant'!$I$39-V90),0)</f>
        <v>258291.0861896954</v>
      </c>
      <c r="W80" s="5">
        <f>IF((W74*'Levellized Salt Sep Plant'!$I$39-W90)&gt;0,(W74*'Levellized Salt Sep Plant'!$I$39-W90),0)</f>
        <v>399433.72459144704</v>
      </c>
      <c r="X80" s="5">
        <f>IF((X74*'Levellized Salt Sep Plant'!$I$39-X90)&gt;0,(X74*'Levellized Salt Sep Plant'!$I$39-X90),0)</f>
        <v>540576.36299319868</v>
      </c>
      <c r="Y80" s="5">
        <f>IF((Y74*'Levellized Salt Sep Plant'!$I$39-Y90)&gt;0,(Y74*'Levellized Salt Sep Plant'!$I$39-Y90),0)</f>
        <v>681719.00139495032</v>
      </c>
      <c r="Z80" s="5">
        <f>IF((Z74*'Levellized Salt Sep Plant'!$I$39-Z90)&gt;0,(Z74*'Levellized Salt Sep Plant'!$I$39-Z90),0)</f>
        <v>822861.63979670196</v>
      </c>
      <c r="AA80" s="5">
        <f>IF((AA74*'Levellized Salt Sep Plant'!$I$39-AA90)&gt;0,(AA74*'Levellized Salt Sep Plant'!$I$39-AA90),0)</f>
        <v>897480.01225584652</v>
      </c>
      <c r="AB80" s="5">
        <f>IF((AB74*'Levellized Salt Sep Plant'!$I$39-AB90)&gt;0,(AB74*'Levellized Salt Sep Plant'!$I$39-AB90),0)</f>
        <v>1038622.6506575984</v>
      </c>
      <c r="AC80" s="5">
        <f>IF((AC74*'Levellized Salt Sep Plant'!$I$39-AC90)&gt;0,(AC74*'Levellized Salt Sep Plant'!$I$39-AC90),0)</f>
        <v>1179765.2890593498</v>
      </c>
      <c r="AD80" s="5">
        <f>IF((AD74*'Levellized Salt Sep Plant'!$I$39-AD90)&gt;0,(AD74*'Levellized Salt Sep Plant'!$I$39-AD90),0)</f>
        <v>1320907.9274611017</v>
      </c>
      <c r="AE80" s="5">
        <f>IF((AE74*'Levellized Salt Sep Plant'!$I$39-AE90)&gt;0,(AE74*'Levellized Salt Sep Plant'!$I$39-AE90),0)</f>
        <v>1482213.7999202465</v>
      </c>
      <c r="AF80" s="5">
        <f>IF((AF74*'Levellized Salt Sep Plant'!$I$39-AF90)&gt;0,(AF74*'Levellized Salt Sep Plant'!$I$39-AF90),0)</f>
        <v>1623356.4383219979</v>
      </c>
      <c r="AG80" s="5">
        <f>IF((AG74*'Levellized Salt Sep Plant'!$I$39-AG90)&gt;0,(AG74*'Levellized Salt Sep Plant'!$I$39-AG90),0)</f>
        <v>1784662.3107811427</v>
      </c>
      <c r="AH80" s="5">
        <f>IF((AH74*'Levellized Salt Sep Plant'!$I$39-AH90)&gt;0,(AH74*'Levellized Salt Sep Plant'!$I$39-AH90),0)</f>
        <v>1818954.2151255012</v>
      </c>
      <c r="AI80" s="5">
        <f>IF((AI74*'Levellized Salt Sep Plant'!$I$39-AI90)&gt;0,(AI74*'Levellized Salt Sep Plant'!$I$39-AI90),0)</f>
        <v>1960096.8535272526</v>
      </c>
      <c r="AJ80" s="5">
        <f>IF((AJ74*'Levellized Salt Sep Plant'!$I$39-AJ90)&gt;0,(AJ74*'Levellized Salt Sep Plant'!$I$39-AJ90),0)</f>
        <v>2101239.4919290044</v>
      </c>
      <c r="AK80" s="5">
        <f>IF((AK74*'Levellized Salt Sep Plant'!$I$39-AK90)&gt;0,(AK74*'Levellized Salt Sep Plant'!$I$39-AK90),0)</f>
        <v>2222218.8962733629</v>
      </c>
      <c r="AL80" s="5">
        <f>IF((AL74*'Levellized Salt Sep Plant'!$I$39-AL90)&gt;0,(AL74*'Levellized Salt Sep Plant'!$I$39-AL90),0)</f>
        <v>2363361.5346751143</v>
      </c>
      <c r="AM80" s="5">
        <f>IF((AM74*'Levellized Salt Sep Plant'!$I$39-AM90)&gt;0,(AM74*'Levellized Salt Sep Plant'!$I$39-AM90),0)</f>
        <v>2504504.1730768662</v>
      </c>
      <c r="AN80" s="5">
        <f>IF((AN74*'Levellized Salt Sep Plant'!$I$39-AN90)&gt;0,(AN74*'Levellized Salt Sep Plant'!$I$39-AN90),0)</f>
        <v>2558959.3114786176</v>
      </c>
      <c r="AO80" s="5">
        <f>IF((AO74*'Levellized Salt Sep Plant'!$I$39-AO90)&gt;0,(AO74*'Levellized Salt Sep Plant'!$I$39-AO90),0)</f>
        <v>2700101.9498803695</v>
      </c>
      <c r="AP80" s="5">
        <f>IF((AP74*'Levellized Salt Sep Plant'!$I$39-AP90)&gt;0,(AP74*'Levellized Salt Sep Plant'!$I$39-AP90),0)</f>
        <v>2841244.5882821213</v>
      </c>
      <c r="AQ80" s="5">
        <f>IF((AQ74*'Levellized Salt Sep Plant'!$I$39-AQ90)&gt;0,(AQ74*'Levellized Salt Sep Plant'!$I$39-AQ90),0)</f>
        <v>2982387.2266838728</v>
      </c>
      <c r="AR80" s="5">
        <f>IF((AR74*'Levellized Salt Sep Plant'!$I$39-AR90)&gt;0,(AR74*'Levellized Salt Sep Plant'!$I$39-AR90),0)</f>
        <v>3123529.8650856242</v>
      </c>
      <c r="AS80" s="5">
        <f>IF((AS74*'Levellized Salt Sep Plant'!$I$39-AS90)&gt;0,(AS74*'Levellized Salt Sep Plant'!$I$39-AS90),0)</f>
        <v>3264672.5034873756</v>
      </c>
      <c r="AT80" s="5">
        <f>IF((AT74*'Levellized Salt Sep Plant'!$I$39-AT90)&gt;0,(AT74*'Levellized Salt Sep Plant'!$I$39-AT90),0)</f>
        <v>3405815.1418891279</v>
      </c>
      <c r="AU80" s="5">
        <f>IF((AU74*'Levellized Salt Sep Plant'!$I$39-AU90)&gt;0,(AU74*'Levellized Salt Sep Plant'!$I$39-AU90),0)</f>
        <v>3460270.2802908793</v>
      </c>
      <c r="AV80" s="5">
        <f>IF((AV74*'Levellized Salt Sep Plant'!$I$39-AV90)&gt;0,(AV74*'Levellized Salt Sep Plant'!$I$39-AV90),0)</f>
        <v>3621576.1527500236</v>
      </c>
      <c r="AW80" s="5">
        <f>IF((AW74*'Levellized Salt Sep Plant'!$I$39-AW90)&gt;0,(AW74*'Levellized Salt Sep Plant'!$I$39-AW90),0)</f>
        <v>3762718.791151775</v>
      </c>
      <c r="AX80" s="5">
        <f>IF((AX74*'Levellized Salt Sep Plant'!$I$39-AX90)&gt;0,(AX74*'Levellized Salt Sep Plant'!$I$39-AX90),0)</f>
        <v>3903861.4295535274</v>
      </c>
      <c r="AY80" s="5">
        <f>IF((AY74*'Levellized Salt Sep Plant'!$I$39-AY90)&gt;0,(AY74*'Levellized Salt Sep Plant'!$I$39-AY90),0)</f>
        <v>4065167.3020126717</v>
      </c>
      <c r="AZ80" s="5">
        <f>IF((AZ74*'Levellized Salt Sep Plant'!$I$39-AZ90)&gt;0,(AZ74*'Levellized Salt Sep Plant'!$I$39-AZ90),0)</f>
        <v>4186146.7063570302</v>
      </c>
      <c r="BA80" s="5">
        <f>IF((BA74*'Levellized Salt Sep Plant'!$I$39-BA90)&gt;0,(BA74*'Levellized Salt Sep Plant'!$I$39-BA90),0)</f>
        <v>4240601.8447587816</v>
      </c>
      <c r="BB80" s="5">
        <f>IF((BB74*'Levellized Salt Sep Plant'!$I$39-BB90)&gt;0,(BB74*'Levellized Salt Sep Plant'!$I$39-BB90),0)</f>
        <v>4361581.2491031401</v>
      </c>
      <c r="BC80" s="5">
        <f>IF((BC74*'Levellized Salt Sep Plant'!$I$39-BC90)&gt;0,(BC74*'Levellized Salt Sep Plant'!$I$39-BC90),0)</f>
        <v>4482560.6534474986</v>
      </c>
      <c r="BD80" s="5">
        <f>IF((BD74*'Levellized Salt Sep Plant'!$I$39-BD90)&gt;0,(BD74*'Levellized Salt Sep Plant'!$I$39-BD90),0)</f>
        <v>4603540.057791857</v>
      </c>
      <c r="BE80" s="5">
        <f>IF((BE74*'Levellized Salt Sep Plant'!$I$39-BE90)&gt;0,(BE74*'Levellized Salt Sep Plant'!$I$39-BE90),0)</f>
        <v>4704356.2280788226</v>
      </c>
      <c r="BF80" s="5">
        <f>IF((BF74*'Levellized Salt Sep Plant'!$I$39-BF90)&gt;0,(BF74*'Levellized Salt Sep Plant'!$I$39-BF90),0)</f>
        <v>4805172.3983657882</v>
      </c>
      <c r="BG80" s="5">
        <f>IF((BG74*'Levellized Salt Sep Plant'!$I$39-BG90)&gt;0,(BG74*'Levellized Salt Sep Plant'!$I$39-BG90),0)</f>
        <v>4905988.5686527537</v>
      </c>
      <c r="BH80" s="5">
        <f>IF((BH74*'Levellized Salt Sep Plant'!$I$39-BH90)&gt;0,(BH74*'Levellized Salt Sep Plant'!$I$39-BH90),0)</f>
        <v>4920117.2389397193</v>
      </c>
      <c r="BI80" s="5"/>
    </row>
    <row r="81" spans="1:61" s="82" customFormat="1" hidden="1" x14ac:dyDescent="0.2">
      <c r="A81" s="82" t="s">
        <v>10</v>
      </c>
      <c r="B81" s="156"/>
      <c r="C81" s="83">
        <f>IF(C73&gt;0,(D83-C83) * 'Salt Evaporation Pond Costs'!$B$46,0)</f>
        <v>0</v>
      </c>
      <c r="D81" s="83">
        <f>IF(D73&gt;0,(E83-D83) * 'Salt Evaporation Pond Costs'!$B$46,0)</f>
        <v>0</v>
      </c>
      <c r="E81" s="83">
        <f>IF(E73&gt;0,(F83-E83) * 'Salt Evaporation Pond Costs'!$B$46,0)</f>
        <v>0</v>
      </c>
      <c r="F81" s="83">
        <f>IF(F73&gt;0,(G83-F83) * 'Salt Evaporation Pond Costs'!$B$46,0)</f>
        <v>0</v>
      </c>
      <c r="G81" s="83">
        <f>IF(G73&gt;0,(H83-G83) * 'Salt Evaporation Pond Costs'!$B$46,0)</f>
        <v>0</v>
      </c>
      <c r="H81" s="83">
        <f>IF(H73&gt;0,(I83-H83) * 'Salt Evaporation Pond Costs'!$B$46,0)</f>
        <v>0</v>
      </c>
      <c r="I81" s="83">
        <f>IF(I73&gt;0,(J83-I83) * 'Salt Evaporation Pond Costs'!$B$46,0)</f>
        <v>0</v>
      </c>
      <c r="J81" s="83">
        <f>IF(J73&gt;0,(K83-J83) * 'Salt Evaporation Pond Costs'!$B$46,0)</f>
        <v>0</v>
      </c>
      <c r="K81" s="83">
        <f>IF(K73&gt;0,(L83-K83) * 'Salt Evaporation Pond Costs'!$B$46,0)</f>
        <v>0</v>
      </c>
      <c r="L81" s="83">
        <f>IF(L73&gt;0,(M83-L83) * 'Salt Evaporation Pond Costs'!$B$46,0)</f>
        <v>0</v>
      </c>
      <c r="M81" s="83">
        <f>IF(M73&gt;0,(N83-M83) * 'Salt Evaporation Pond Costs'!$B$46,0)</f>
        <v>0</v>
      </c>
      <c r="N81" s="83">
        <f>IF(N73&gt;0,(O83-N83) * 'Salt Evaporation Pond Costs'!$B$46,0)</f>
        <v>0</v>
      </c>
      <c r="O81" s="83">
        <f>IF(O73&gt;0,(P83-O83) * 'Salt Evaporation Pond Costs'!$B$46,0)</f>
        <v>0</v>
      </c>
      <c r="P81" s="83">
        <f>IF(P73&gt;0,(Q83-P83) * 'Salt Evaporation Pond Costs'!$B$46,0)</f>
        <v>0</v>
      </c>
      <c r="Q81" s="83">
        <f>IF(Q73&gt;0,(R83-Q83) * 'Salt Evaporation Pond Costs'!$B$46,0)</f>
        <v>0</v>
      </c>
      <c r="R81" s="83">
        <f>IF(R73&gt;0,(S83-R83) * 'Salt Evaporation Pond Costs'!$B$46,0)</f>
        <v>178185.70996275172</v>
      </c>
      <c r="S81" s="83">
        <f>IF(S73&gt;0,(T83-S83) * 'Salt Evaporation Pond Costs'!$B$46,0)</f>
        <v>215141.72670591908</v>
      </c>
      <c r="T81" s="83">
        <f>IF(T73&gt;0,(U83-T83) * 'Salt Evaporation Pond Costs'!$B$46,0)</f>
        <v>341642.51673267118</v>
      </c>
      <c r="U81" s="83">
        <f>IF(U73&gt;0,(V83-U83) * 'Salt Evaporation Pond Costs'!$B$46,0)</f>
        <v>885505.53018726141</v>
      </c>
      <c r="V81" s="83">
        <f>IF(V73&gt;0,(W83-V83) * 'Salt Evaporation Pond Costs'!$B$46,0)</f>
        <v>885505.53018726141</v>
      </c>
      <c r="W81" s="83">
        <f>IF(W73&gt;0,(X83-W83) * 'Salt Evaporation Pond Costs'!$B$46,0)</f>
        <v>885505.53018726141</v>
      </c>
      <c r="X81" s="83">
        <f>IF(X73&gt;0,(Y83-X83) * 'Salt Evaporation Pond Costs'!$B$46,0)</f>
        <v>885505.53018726141</v>
      </c>
      <c r="Y81" s="83">
        <f>IF(Y73&gt;0,(Z83-Y83) * 'Salt Evaporation Pond Costs'!$B$46,0)</f>
        <v>885505.53018726187</v>
      </c>
      <c r="Z81" s="83">
        <f>IF(Z73&gt;0,(AA83-Z83) * 'Salt Evaporation Pond Costs'!$B$46,0)</f>
        <v>468143.30675942136</v>
      </c>
      <c r="AA81" s="83">
        <f>IF(AA73&gt;0,(AB83-AA83) * 'Salt Evaporation Pond Costs'!$B$46,0)</f>
        <v>885505.53018726339</v>
      </c>
      <c r="AB81" s="83">
        <f>IF(AB73&gt;0,(AC83-AB83) * 'Salt Evaporation Pond Costs'!$B$46,0)</f>
        <v>885505.53018725943</v>
      </c>
      <c r="AC81" s="83">
        <f>IF(AC73&gt;0,(AD83-AC83) * 'Salt Evaporation Pond Costs'!$B$46,0)</f>
        <v>885505.53018726339</v>
      </c>
      <c r="AD81" s="83">
        <f>IF(AD73&gt;0,(AE83-AD83) * 'Salt Evaporation Pond Costs'!$B$46,0)</f>
        <v>1012006.3202140136</v>
      </c>
      <c r="AE81" s="83">
        <f>IF(AE73&gt;0,(AF83-AE83) * 'Salt Evaporation Pond Costs'!$B$46,0)</f>
        <v>885505.53018726024</v>
      </c>
      <c r="AF81" s="83">
        <f>IF(AF73&gt;0,(AG83-AF83) * 'Salt Evaporation Pond Costs'!$B$46,0)</f>
        <v>1012006.3202140136</v>
      </c>
      <c r="AG81" s="83">
        <f>IF(AG73&gt;0,(AH83-AG83) * 'Salt Evaporation Pond Costs'!$B$46,0)</f>
        <v>215141.72670591879</v>
      </c>
      <c r="AH81" s="83">
        <f>IF(AH73&gt;0,(AI83-AH83) * 'Salt Evaporation Pond Costs'!$B$46,0)</f>
        <v>885505.53018726024</v>
      </c>
      <c r="AI81" s="83">
        <f>IF(AI73&gt;0,(AJ83-AI83) * 'Salt Evaporation Pond Costs'!$B$46,0)</f>
        <v>885505.53018726187</v>
      </c>
      <c r="AJ81" s="83">
        <f>IF(AJ73&gt;0,(AK83-AJ83) * 'Salt Evaporation Pond Costs'!$B$46,0)</f>
        <v>759004.74016051018</v>
      </c>
      <c r="AK81" s="83">
        <f>IF(AK73&gt;0,(AL83-AK83) * 'Salt Evaporation Pond Costs'!$B$46,0)</f>
        <v>885505.53018726024</v>
      </c>
      <c r="AL81" s="83">
        <f>IF(AL73&gt;0,(AM83-AL83) * 'Salt Evaporation Pond Costs'!$B$46,0)</f>
        <v>885505.53018726339</v>
      </c>
      <c r="AM81" s="83">
        <f>IF(AM73&gt;0,(BI83-AM83) * 'Salt Evaporation Pond Costs'!$B$46,0)</f>
        <v>0</v>
      </c>
      <c r="AN81" s="83">
        <f>IF(AN73&gt;0,(BJ83-AN83) * 'Salt Evaporation Pond Costs'!$B$46,0)</f>
        <v>0</v>
      </c>
      <c r="AO81" s="83">
        <f>IF(AO73&gt;0,(BK83-AO83) * 'Salt Evaporation Pond Costs'!$B$46,0)</f>
        <v>0</v>
      </c>
      <c r="AP81" s="83">
        <f>IF(AP73&gt;0,(BL83-AP83) * 'Salt Evaporation Pond Costs'!$B$46,0)</f>
        <v>0</v>
      </c>
      <c r="AQ81" s="83">
        <f>IF(AQ73&gt;0,(BM83-AQ83) * 'Salt Evaporation Pond Costs'!$B$46,0)</f>
        <v>0</v>
      </c>
      <c r="AR81" s="83">
        <f>IF(AR73&gt;0,(BN83-AR83) * 'Salt Evaporation Pond Costs'!$B$46,0)</f>
        <v>0</v>
      </c>
      <c r="AS81" s="83">
        <f>IF(AS73&gt;0,(BO83-AS83) * 'Salt Evaporation Pond Costs'!$B$46,0)</f>
        <v>0</v>
      </c>
      <c r="AT81" s="83">
        <f>IF(AT73&gt;0,(BP83-AT83) * 'Salt Evaporation Pond Costs'!$B$46,0)</f>
        <v>0</v>
      </c>
      <c r="AU81" s="83">
        <f>IF(AU73&gt;0,(BQ83-AU83) * 'Salt Evaporation Pond Costs'!$B$46,0)</f>
        <v>0</v>
      </c>
      <c r="AV81" s="83">
        <f>IF(AV73&gt;0,(BR83-AV83) * 'Salt Evaporation Pond Costs'!$B$46,0)</f>
        <v>0</v>
      </c>
      <c r="AW81" s="83">
        <f>IF(AW73&gt;0,(BS83-AW83) * 'Salt Evaporation Pond Costs'!$B$46,0)</f>
        <v>0</v>
      </c>
      <c r="AX81" s="83">
        <f>IF(AX73&gt;0,(BT83-AX83) * 'Salt Evaporation Pond Costs'!$B$46,0)</f>
        <v>0</v>
      </c>
      <c r="AY81" s="83">
        <f>IF(AY73&gt;0,(BU83-AY83) * 'Salt Evaporation Pond Costs'!$B$46,0)</f>
        <v>0</v>
      </c>
      <c r="AZ81" s="83">
        <f>IF(AZ73&gt;0,(BV83-AZ83) * 'Salt Evaporation Pond Costs'!$B$46,0)</f>
        <v>0</v>
      </c>
      <c r="BA81" s="83">
        <f>IF(BA73&gt;0,(BW83-BA83) * 'Salt Evaporation Pond Costs'!$B$46,0)</f>
        <v>0</v>
      </c>
      <c r="BB81" s="83">
        <f>IF(BB73&gt;0,(BX83-BB83) * 'Salt Evaporation Pond Costs'!$B$46,0)</f>
        <v>0</v>
      </c>
      <c r="BC81" s="83">
        <f>IF(BC73&gt;0,(BY83-BC83) * 'Salt Evaporation Pond Costs'!$B$46,0)</f>
        <v>0</v>
      </c>
      <c r="BD81" s="83">
        <f>IF(BD73&gt;0,(BZ83-BD83) * 'Salt Evaporation Pond Costs'!$B$46,0)</f>
        <v>0</v>
      </c>
      <c r="BE81" s="83">
        <f>IF(BE73&gt;0,(CA83-BE83) * 'Salt Evaporation Pond Costs'!$B$46,0)</f>
        <v>0</v>
      </c>
      <c r="BF81" s="83">
        <f>IF(BF73&gt;0,(CB83-BF83) * 'Salt Evaporation Pond Costs'!$B$46,0)</f>
        <v>0</v>
      </c>
      <c r="BG81" s="83">
        <f>IF(BG73&gt;0,(CC83-BG83) * 'Salt Evaporation Pond Costs'!$B$46,0)</f>
        <v>0</v>
      </c>
      <c r="BH81" s="83">
        <f>IF(BH73&gt;0,(CD83-BH83) * 'Salt Evaporation Pond Costs'!$B$46,0)</f>
        <v>0</v>
      </c>
      <c r="BI81" s="83"/>
    </row>
    <row r="82" spans="1:61" s="82" customFormat="1" hidden="1" x14ac:dyDescent="0.2">
      <c r="A82" s="82" t="s">
        <v>11</v>
      </c>
      <c r="B82" s="156"/>
      <c r="C82" s="83">
        <f>C83 * 'Salt Evaporation Pond Costs'!$B$53</f>
        <v>0</v>
      </c>
      <c r="D82" s="83">
        <f>D83 * 'Salt Evaporation Pond Costs'!$B$53</f>
        <v>0</v>
      </c>
      <c r="E82" s="83">
        <f>E83 * 'Salt Evaporation Pond Costs'!$B$53</f>
        <v>0</v>
      </c>
      <c r="F82" s="83">
        <f>F83 * 'Salt Evaporation Pond Costs'!$B$53</f>
        <v>0</v>
      </c>
      <c r="G82" s="83">
        <f>G83 * 'Salt Evaporation Pond Costs'!$B$53</f>
        <v>0</v>
      </c>
      <c r="H82" s="83">
        <f>H83 * 'Salt Evaporation Pond Costs'!$B$53</f>
        <v>0</v>
      </c>
      <c r="I82" s="83">
        <f>I83 * 'Salt Evaporation Pond Costs'!$B$53</f>
        <v>0</v>
      </c>
      <c r="J82" s="83">
        <f>J83 * 'Salt Evaporation Pond Costs'!$B$53</f>
        <v>0</v>
      </c>
      <c r="K82" s="83">
        <f>K83 * 'Salt Evaporation Pond Costs'!$B$53</f>
        <v>0</v>
      </c>
      <c r="L82" s="83">
        <f>L83 * 'Salt Evaporation Pond Costs'!$B$53</f>
        <v>0</v>
      </c>
      <c r="M82" s="83">
        <f>M83 * 'Salt Evaporation Pond Costs'!$B$53</f>
        <v>0</v>
      </c>
      <c r="N82" s="83">
        <f>N83 * 'Salt Evaporation Pond Costs'!$B$53</f>
        <v>0</v>
      </c>
      <c r="O82" s="83">
        <f>O83 * 'Salt Evaporation Pond Costs'!$B$53</f>
        <v>0</v>
      </c>
      <c r="P82" s="83">
        <f>P83 * 'Salt Evaporation Pond Costs'!$B$53</f>
        <v>0</v>
      </c>
      <c r="Q82" s="83">
        <f>Q83 * 'Salt Evaporation Pond Costs'!$B$53</f>
        <v>0</v>
      </c>
      <c r="R82" s="83">
        <f>R83 * 'Salt Evaporation Pond Costs'!$B$53</f>
        <v>0</v>
      </c>
      <c r="S82" s="83">
        <f>S83 * 'Salt Evaporation Pond Costs'!$B$53</f>
        <v>11036.32333785335</v>
      </c>
      <c r="T82" s="83">
        <f>T83 * 'Salt Evaporation Pond Costs'!$B$53</f>
        <v>24361.59874791258</v>
      </c>
      <c r="U82" s="83">
        <f>U83 * 'Salt Evaporation Pond Costs'!$B$53</f>
        <v>45521.978451806463</v>
      </c>
      <c r="V82" s="83">
        <f>V83 * 'Salt Evaporation Pond Costs'!$B$53</f>
        <v>100367.70850864876</v>
      </c>
      <c r="W82" s="83">
        <f>W83 * 'Salt Evaporation Pond Costs'!$B$53</f>
        <v>155213.43856549106</v>
      </c>
      <c r="X82" s="83">
        <f>X83 * 'Salt Evaporation Pond Costs'!$B$53</f>
        <v>210059.16862233335</v>
      </c>
      <c r="Y82" s="83">
        <f>Y83 * 'Salt Evaporation Pond Costs'!$B$53</f>
        <v>264904.89867917565</v>
      </c>
      <c r="Z82" s="83">
        <f>Z83 * 'Salt Evaporation Pond Costs'!$B$53</f>
        <v>319750.62873601797</v>
      </c>
      <c r="AA82" s="83">
        <f>AA83 * 'Salt Evaporation Pond Costs'!$B$53</f>
        <v>348746.11273374641</v>
      </c>
      <c r="AB82" s="83">
        <f>AB83 * 'Salt Evaporation Pond Costs'!$B$53</f>
        <v>403591.84279058879</v>
      </c>
      <c r="AC82" s="83">
        <f>AC83 * 'Salt Evaporation Pond Costs'!$B$53</f>
        <v>458437.572847431</v>
      </c>
      <c r="AD82" s="83">
        <f>AD83 * 'Salt Evaporation Pond Costs'!$B$53</f>
        <v>513283.30290427344</v>
      </c>
      <c r="AE82" s="83">
        <f>AE83 * 'Salt Evaporation Pond Costs'!$B$53</f>
        <v>575964.13725495036</v>
      </c>
      <c r="AF82" s="83">
        <f>AF83 * 'Salt Evaporation Pond Costs'!$B$53</f>
        <v>630809.86731179256</v>
      </c>
      <c r="AG82" s="83">
        <f>AG83 * 'Salt Evaporation Pond Costs'!$B$53</f>
        <v>693490.70166246954</v>
      </c>
      <c r="AH82" s="83">
        <f>AH83 * 'Salt Evaporation Pond Costs'!$B$53</f>
        <v>706815.9770725288</v>
      </c>
      <c r="AI82" s="83">
        <f>AI83 * 'Salt Evaporation Pond Costs'!$B$53</f>
        <v>761661.707129371</v>
      </c>
      <c r="AJ82" s="83">
        <f>AJ83 * 'Salt Evaporation Pond Costs'!$B$53</f>
        <v>816507.43718621333</v>
      </c>
      <c r="AK82" s="83">
        <f>AK83 * 'Salt Evaporation Pond Costs'!$B$53</f>
        <v>863518.062949221</v>
      </c>
      <c r="AL82" s="83">
        <f>AL83 * 'Salt Evaporation Pond Costs'!$B$53</f>
        <v>918363.79300606332</v>
      </c>
      <c r="AM82" s="83">
        <f>AM83 * 'Salt Evaporation Pond Costs'!$B$53</f>
        <v>973209.52306290565</v>
      </c>
      <c r="AN82" s="83">
        <f>AN83 * 'Salt Evaporation Pond Costs'!$B$53</f>
        <v>994369.90276679944</v>
      </c>
      <c r="AO82" s="83">
        <f>AO83 * 'Salt Evaporation Pond Costs'!$B$53</f>
        <v>1049215.6328236419</v>
      </c>
      <c r="AP82" s="83">
        <f>AP83 * 'Salt Evaporation Pond Costs'!$B$53</f>
        <v>1104061.3628804842</v>
      </c>
      <c r="AQ82" s="83">
        <f>AQ83 * 'Salt Evaporation Pond Costs'!$B$53</f>
        <v>1158907.0929373265</v>
      </c>
      <c r="AR82" s="83">
        <f>AR83 * 'Salt Evaporation Pond Costs'!$B$53</f>
        <v>1213752.8229941688</v>
      </c>
      <c r="AS82" s="83">
        <f>AS83 * 'Salt Evaporation Pond Costs'!$B$53</f>
        <v>1268598.5530510109</v>
      </c>
      <c r="AT82" s="83">
        <f>AT83 * 'Salt Evaporation Pond Costs'!$B$53</f>
        <v>1323444.2831078535</v>
      </c>
      <c r="AU82" s="83">
        <f>AU83 * 'Salt Evaporation Pond Costs'!$B$53</f>
        <v>1344604.6628117473</v>
      </c>
      <c r="AV82" s="83">
        <f>AV83 * 'Salt Evaporation Pond Costs'!$B$53</f>
        <v>1407285.497162424</v>
      </c>
      <c r="AW82" s="83">
        <f>AW83 * 'Salt Evaporation Pond Costs'!$B$53</f>
        <v>1462131.2272192664</v>
      </c>
      <c r="AX82" s="83">
        <f>AX83 * 'Salt Evaporation Pond Costs'!$B$53</f>
        <v>1516976.9572761087</v>
      </c>
      <c r="AY82" s="83">
        <f>AY83 * 'Salt Evaporation Pond Costs'!$B$53</f>
        <v>1579657.7916267854</v>
      </c>
      <c r="AZ82" s="83">
        <f>AZ83 * 'Salt Evaporation Pond Costs'!$B$53</f>
        <v>1626668.4173897931</v>
      </c>
      <c r="BA82" s="83">
        <f>BA83 * 'Salt Evaporation Pond Costs'!$B$53</f>
        <v>1647828.7970936869</v>
      </c>
      <c r="BB82" s="83">
        <f>BB83 * 'Salt Evaporation Pond Costs'!$B$53</f>
        <v>1694839.4228566946</v>
      </c>
      <c r="BC82" s="83">
        <f>BC83 * 'Salt Evaporation Pond Costs'!$B$53</f>
        <v>1741850.0486197025</v>
      </c>
      <c r="BD82" s="83">
        <f>BD83 * 'Salt Evaporation Pond Costs'!$B$53</f>
        <v>1788860.6743827099</v>
      </c>
      <c r="BE82" s="83">
        <f>BE83 * 'Salt Evaporation Pond Costs'!$B$53</f>
        <v>1828036.1958518832</v>
      </c>
      <c r="BF82" s="83">
        <f>BF83 * 'Salt Evaporation Pond Costs'!$B$53</f>
        <v>1867211.7173210562</v>
      </c>
      <c r="BG82" s="83">
        <f>BG83 * 'Salt Evaporation Pond Costs'!$B$53</f>
        <v>1906387.2387902294</v>
      </c>
      <c r="BH82" s="83">
        <f>BH83 * 'Salt Evaporation Pond Costs'!$B$53</f>
        <v>1911877.4099064539</v>
      </c>
      <c r="BI82" s="83"/>
    </row>
    <row r="83" spans="1:61" s="129" customFormat="1" x14ac:dyDescent="0.2">
      <c r="A83" s="129" t="s">
        <v>722</v>
      </c>
      <c r="B83" s="157"/>
      <c r="C83" s="130">
        <f xml:space="preserve"> C80 / 'Salt Evaporation Pond Costs'!$B$62</f>
        <v>0</v>
      </c>
      <c r="D83" s="130">
        <f xml:space="preserve"> D80 / 'Salt Evaporation Pond Costs'!$B$62</f>
        <v>0</v>
      </c>
      <c r="E83" s="130">
        <f xml:space="preserve"> E80 / 'Salt Evaporation Pond Costs'!$B$62</f>
        <v>0</v>
      </c>
      <c r="F83" s="130">
        <f xml:space="preserve"> F80 / 'Salt Evaporation Pond Costs'!$B$62</f>
        <v>0</v>
      </c>
      <c r="G83" s="130">
        <f xml:space="preserve"> G80 / 'Salt Evaporation Pond Costs'!$B$62</f>
        <v>0</v>
      </c>
      <c r="H83" s="130">
        <f xml:space="preserve"> H80 / 'Salt Evaporation Pond Costs'!$B$62</f>
        <v>0</v>
      </c>
      <c r="I83" s="130">
        <f xml:space="preserve"> I80 / 'Salt Evaporation Pond Costs'!$B$62</f>
        <v>0</v>
      </c>
      <c r="J83" s="130">
        <f xml:space="preserve"> J80 / 'Salt Evaporation Pond Costs'!$B$62</f>
        <v>0</v>
      </c>
      <c r="K83" s="130">
        <f xml:space="preserve"> K80 / 'Salt Evaporation Pond Costs'!$B$62</f>
        <v>0</v>
      </c>
      <c r="L83" s="130">
        <f xml:space="preserve"> L80 / 'Salt Evaporation Pond Costs'!$B$62</f>
        <v>0</v>
      </c>
      <c r="M83" s="130">
        <f xml:space="preserve"> M80 / 'Salt Evaporation Pond Costs'!$B$62</f>
        <v>0</v>
      </c>
      <c r="N83" s="130">
        <f xml:space="preserve"> N80 / 'Salt Evaporation Pond Costs'!$B$62</f>
        <v>0</v>
      </c>
      <c r="O83" s="130">
        <f xml:space="preserve"> O80 / 'Salt Evaporation Pond Costs'!$B$62</f>
        <v>0</v>
      </c>
      <c r="P83" s="130">
        <f xml:space="preserve"> P80 / 'Salt Evaporation Pond Costs'!$B$62</f>
        <v>0</v>
      </c>
      <c r="Q83" s="130">
        <f xml:space="preserve"> Q80 / 'Salt Evaporation Pond Costs'!$B$62</f>
        <v>0</v>
      </c>
      <c r="R83" s="130">
        <f xml:space="preserve"> R80 / 'Salt Evaporation Pond Costs'!$B$62</f>
        <v>0</v>
      </c>
      <c r="S83" s="130">
        <f xml:space="preserve"> S80 / 'Salt Evaporation Pond Costs'!$B$62</f>
        <v>6.4539902560545901</v>
      </c>
      <c r="T83" s="130">
        <f xml:space="preserve"> T80 / 'Salt Evaporation Pond Costs'!$B$62</f>
        <v>14.246548975387475</v>
      </c>
      <c r="U83" s="130">
        <f xml:space="preserve"> U80 / 'Salt Evaporation Pond Costs'!$B$62</f>
        <v>26.621040030296175</v>
      </c>
      <c r="V83" s="130">
        <f xml:space="preserve"> V80 / 'Salt Evaporation Pond Costs'!$B$62</f>
        <v>58.694566379326758</v>
      </c>
      <c r="W83" s="130">
        <f xml:space="preserve"> W80 / 'Salt Evaporation Pond Costs'!$B$62</f>
        <v>90.768092728357345</v>
      </c>
      <c r="X83" s="130">
        <f xml:space="preserve"> X80 / 'Salt Evaporation Pond Costs'!$B$62</f>
        <v>122.84161907738793</v>
      </c>
      <c r="Y83" s="130">
        <f xml:space="preserve"> Y80 / 'Salt Evaporation Pond Costs'!$B$62</f>
        <v>154.91514542641852</v>
      </c>
      <c r="Z83" s="130">
        <f xml:space="preserve"> Z80 / 'Salt Evaporation Pond Costs'!$B$62</f>
        <v>186.98867177544912</v>
      </c>
      <c r="AA83" s="130">
        <f xml:space="preserve"> AA80 / 'Salt Evaporation Pond Costs'!$B$62</f>
        <v>203.94509516593357</v>
      </c>
      <c r="AB83" s="130">
        <f xml:space="preserve"> AB80 / 'Salt Evaporation Pond Costs'!$B$62</f>
        <v>236.01862151496422</v>
      </c>
      <c r="AC83" s="130">
        <f xml:space="preserve"> AC80 / 'Salt Evaporation Pond Costs'!$B$62</f>
        <v>268.09214786399474</v>
      </c>
      <c r="AD83" s="130">
        <f xml:space="preserve"> AD80 / 'Salt Evaporation Pond Costs'!$B$62</f>
        <v>300.1656742130254</v>
      </c>
      <c r="AE83" s="130">
        <f xml:space="preserve"> AE80 / 'Salt Evaporation Pond Costs'!$B$62</f>
        <v>336.8211328976318</v>
      </c>
      <c r="AF83" s="130">
        <f xml:space="preserve"> AF80 / 'Salt Evaporation Pond Costs'!$B$62</f>
        <v>368.89465924666234</v>
      </c>
      <c r="AG83" s="130">
        <f xml:space="preserve"> AG80 / 'Salt Evaporation Pond Costs'!$B$62</f>
        <v>405.55011793126874</v>
      </c>
      <c r="AH83" s="130">
        <f xml:space="preserve"> AH80 / 'Salt Evaporation Pond Costs'!$B$62</f>
        <v>413.34267665060162</v>
      </c>
      <c r="AI83" s="130">
        <f xml:space="preserve"> AI80 / 'Salt Evaporation Pond Costs'!$B$62</f>
        <v>445.41620299963216</v>
      </c>
      <c r="AJ83" s="130">
        <f xml:space="preserve"> AJ80 / 'Salt Evaporation Pond Costs'!$B$62</f>
        <v>477.48972934866276</v>
      </c>
      <c r="AK83" s="130">
        <f xml:space="preserve"> AK80 / 'Salt Evaporation Pond Costs'!$B$62</f>
        <v>504.98132336211756</v>
      </c>
      <c r="AL83" s="130">
        <f xml:space="preserve"> AL80 / 'Salt Evaporation Pond Costs'!$B$62</f>
        <v>537.05484971114811</v>
      </c>
      <c r="AM83" s="130">
        <f xml:space="preserve"> AM80 / 'Salt Evaporation Pond Costs'!$B$62</f>
        <v>569.12837606017877</v>
      </c>
      <c r="AN83" s="130">
        <f xml:space="preserve"> AN80 / 'Salt Evaporation Pond Costs'!$B$62</f>
        <v>581.50286711508738</v>
      </c>
      <c r="AO83" s="130">
        <f xml:space="preserve"> AO80 / 'Salt Evaporation Pond Costs'!$B$62</f>
        <v>613.57639346411804</v>
      </c>
      <c r="AP83" s="130">
        <f xml:space="preserve"> AP80 / 'Salt Evaporation Pond Costs'!$B$62</f>
        <v>645.6499198131487</v>
      </c>
      <c r="AQ83" s="130">
        <f xml:space="preserve"> AQ80 / 'Salt Evaporation Pond Costs'!$B$62</f>
        <v>677.72344616217924</v>
      </c>
      <c r="AR83" s="130">
        <f xml:space="preserve"> AR80 / 'Salt Evaporation Pond Costs'!$B$62</f>
        <v>709.79697251120979</v>
      </c>
      <c r="AS83" s="130">
        <f xml:space="preserve"> AS80 / 'Salt Evaporation Pond Costs'!$B$62</f>
        <v>741.87049886024033</v>
      </c>
      <c r="AT83" s="130">
        <f xml:space="preserve"> AT80 / 'Salt Evaporation Pond Costs'!$B$62</f>
        <v>773.94402520927099</v>
      </c>
      <c r="AU83" s="130">
        <f xml:space="preserve"> AU80 / 'Salt Evaporation Pond Costs'!$B$62</f>
        <v>786.31851626417972</v>
      </c>
      <c r="AV83" s="130">
        <f xml:space="preserve"> AV80 / 'Salt Evaporation Pond Costs'!$B$62</f>
        <v>822.97397494878601</v>
      </c>
      <c r="AW83" s="130">
        <f xml:space="preserve"> AW80 / 'Salt Evaporation Pond Costs'!$B$62</f>
        <v>855.04750129781655</v>
      </c>
      <c r="AX83" s="130">
        <f xml:space="preserve"> AX80 / 'Salt Evaporation Pond Costs'!$B$62</f>
        <v>887.12102764684721</v>
      </c>
      <c r="AY83" s="130">
        <f xml:space="preserve"> AY80 / 'Salt Evaporation Pond Costs'!$B$62</f>
        <v>923.7764863314535</v>
      </c>
      <c r="AZ83" s="130">
        <f xml:space="preserve"> AZ80 / 'Salt Evaporation Pond Costs'!$B$62</f>
        <v>951.2680803449083</v>
      </c>
      <c r="BA83" s="130">
        <f xml:space="preserve"> BA80 / 'Salt Evaporation Pond Costs'!$B$62</f>
        <v>963.64257139981692</v>
      </c>
      <c r="BB83" s="130">
        <f xml:space="preserve"> BB80 / 'Salt Evaporation Pond Costs'!$B$62</f>
        <v>991.13416541327172</v>
      </c>
      <c r="BC83" s="130">
        <f xml:space="preserve"> BC80 / 'Salt Evaporation Pond Costs'!$B$62</f>
        <v>1018.6257594267265</v>
      </c>
      <c r="BD83" s="130">
        <f xml:space="preserve"> BD80 / 'Salt Evaporation Pond Costs'!$B$62</f>
        <v>1046.1173534401812</v>
      </c>
      <c r="BE83" s="130">
        <f xml:space="preserve"> BE80 / 'Salt Evaporation Pond Costs'!$B$62</f>
        <v>1069.0270151180603</v>
      </c>
      <c r="BF83" s="130">
        <f xml:space="preserve"> BF80 / 'Salt Evaporation Pond Costs'!$B$62</f>
        <v>1091.9366767959393</v>
      </c>
      <c r="BG83" s="130">
        <f xml:space="preserve"> BG80 / 'Salt Evaporation Pond Costs'!$B$62</f>
        <v>1114.8463384738184</v>
      </c>
      <c r="BH83" s="130">
        <f xml:space="preserve"> BH80 / 'Salt Evaporation Pond Costs'!$B$62</f>
        <v>1118.0569648575754</v>
      </c>
      <c r="BI83" s="131"/>
    </row>
    <row r="84" spans="1:61" hidden="1" x14ac:dyDescent="0.2">
      <c r="A84" t="s">
        <v>790</v>
      </c>
      <c r="B84" s="112">
        <v>2.1</v>
      </c>
      <c r="C84" s="103">
        <v>90</v>
      </c>
      <c r="D84" s="10">
        <f xml:space="preserve"> C84 + $B84</f>
        <v>92.1</v>
      </c>
      <c r="E84" s="10">
        <f t="shared" ref="E84:BH84" si="36" xml:space="preserve"> D84 + $B84</f>
        <v>94.199999999999989</v>
      </c>
      <c r="F84" s="10">
        <f t="shared" si="36"/>
        <v>96.299999999999983</v>
      </c>
      <c r="G84" s="10">
        <f t="shared" si="36"/>
        <v>98.399999999999977</v>
      </c>
      <c r="H84" s="10">
        <f t="shared" si="36"/>
        <v>100.49999999999997</v>
      </c>
      <c r="I84" s="10">
        <f t="shared" si="36"/>
        <v>102.59999999999997</v>
      </c>
      <c r="J84" s="10">
        <f t="shared" si="36"/>
        <v>104.69999999999996</v>
      </c>
      <c r="K84" s="10">
        <f t="shared" si="36"/>
        <v>106.79999999999995</v>
      </c>
      <c r="L84" s="10">
        <f t="shared" si="36"/>
        <v>108.89999999999995</v>
      </c>
      <c r="M84" s="10">
        <f t="shared" si="36"/>
        <v>110.99999999999994</v>
      </c>
      <c r="N84" s="10">
        <f t="shared" si="36"/>
        <v>113.09999999999994</v>
      </c>
      <c r="O84" s="10">
        <f t="shared" si="36"/>
        <v>115.19999999999993</v>
      </c>
      <c r="P84" s="10">
        <f t="shared" si="36"/>
        <v>117.29999999999993</v>
      </c>
      <c r="Q84" s="10">
        <f t="shared" si="36"/>
        <v>119.39999999999992</v>
      </c>
      <c r="R84" s="10">
        <f t="shared" si="36"/>
        <v>121.49999999999991</v>
      </c>
      <c r="S84" s="10">
        <f t="shared" si="36"/>
        <v>123.59999999999991</v>
      </c>
      <c r="T84" s="10">
        <f t="shared" si="36"/>
        <v>125.6999999999999</v>
      </c>
      <c r="U84" s="10">
        <f t="shared" si="36"/>
        <v>127.7999999999999</v>
      </c>
      <c r="V84" s="10">
        <f t="shared" si="36"/>
        <v>129.89999999999989</v>
      </c>
      <c r="W84" s="10">
        <f t="shared" si="36"/>
        <v>131.99999999999989</v>
      </c>
      <c r="X84" s="10">
        <f t="shared" si="36"/>
        <v>134.09999999999988</v>
      </c>
      <c r="Y84" s="10">
        <f t="shared" si="36"/>
        <v>136.19999999999987</v>
      </c>
      <c r="Z84" s="10">
        <f t="shared" si="36"/>
        <v>138.29999999999987</v>
      </c>
      <c r="AA84" s="10">
        <f t="shared" si="36"/>
        <v>140.39999999999986</v>
      </c>
      <c r="AB84" s="10">
        <f t="shared" si="36"/>
        <v>142.49999999999986</v>
      </c>
      <c r="AC84" s="10">
        <f t="shared" si="36"/>
        <v>144.59999999999985</v>
      </c>
      <c r="AD84" s="10">
        <f t="shared" si="36"/>
        <v>146.69999999999985</v>
      </c>
      <c r="AE84" s="10">
        <f t="shared" si="36"/>
        <v>148.79999999999984</v>
      </c>
      <c r="AF84" s="10">
        <f t="shared" si="36"/>
        <v>150.89999999999984</v>
      </c>
      <c r="AG84" s="10">
        <f t="shared" si="36"/>
        <v>152.99999999999983</v>
      </c>
      <c r="AH84" s="10">
        <f t="shared" si="36"/>
        <v>155.09999999999982</v>
      </c>
      <c r="AI84" s="10">
        <f t="shared" si="36"/>
        <v>157.19999999999982</v>
      </c>
      <c r="AJ84" s="10">
        <f t="shared" si="36"/>
        <v>159.29999999999981</v>
      </c>
      <c r="AK84" s="10">
        <f t="shared" si="36"/>
        <v>161.39999999999981</v>
      </c>
      <c r="AL84" s="10">
        <f t="shared" si="36"/>
        <v>163.4999999999998</v>
      </c>
      <c r="AM84" s="10">
        <f t="shared" si="36"/>
        <v>165.5999999999998</v>
      </c>
      <c r="AN84" s="10">
        <f t="shared" si="36"/>
        <v>167.69999999999979</v>
      </c>
      <c r="AO84" s="10">
        <f t="shared" si="36"/>
        <v>169.79999999999978</v>
      </c>
      <c r="AP84" s="10">
        <f t="shared" si="36"/>
        <v>171.89999999999978</v>
      </c>
      <c r="AQ84" s="10">
        <f t="shared" si="36"/>
        <v>173.99999999999977</v>
      </c>
      <c r="AR84" s="10">
        <f t="shared" si="36"/>
        <v>176.09999999999977</v>
      </c>
      <c r="AS84" s="10">
        <f t="shared" si="36"/>
        <v>178.19999999999976</v>
      </c>
      <c r="AT84" s="10">
        <f t="shared" si="36"/>
        <v>180.29999999999976</v>
      </c>
      <c r="AU84" s="10">
        <f t="shared" si="36"/>
        <v>182.39999999999975</v>
      </c>
      <c r="AV84" s="10">
        <f t="shared" si="36"/>
        <v>184.49999999999974</v>
      </c>
      <c r="AW84" s="10">
        <f t="shared" si="36"/>
        <v>186.59999999999974</v>
      </c>
      <c r="AX84" s="10">
        <f t="shared" si="36"/>
        <v>188.69999999999973</v>
      </c>
      <c r="AY84" s="10">
        <f t="shared" si="36"/>
        <v>190.79999999999973</v>
      </c>
      <c r="AZ84" s="10">
        <f t="shared" si="36"/>
        <v>192.89999999999972</v>
      </c>
      <c r="BA84" s="10">
        <f t="shared" si="36"/>
        <v>194.99999999999972</v>
      </c>
      <c r="BB84" s="10">
        <f t="shared" si="36"/>
        <v>197.09999999999971</v>
      </c>
      <c r="BC84" s="10">
        <f t="shared" si="36"/>
        <v>199.1999999999997</v>
      </c>
      <c r="BD84" s="10">
        <f t="shared" si="36"/>
        <v>201.2999999999997</v>
      </c>
      <c r="BE84" s="10">
        <f t="shared" si="36"/>
        <v>203.39999999999969</v>
      </c>
      <c r="BF84" s="10">
        <f t="shared" si="36"/>
        <v>205.49999999999969</v>
      </c>
      <c r="BG84" s="10">
        <f t="shared" si="36"/>
        <v>207.59999999999968</v>
      </c>
      <c r="BH84" s="10">
        <f t="shared" si="36"/>
        <v>209.69999999999968</v>
      </c>
      <c r="BI84" s="10"/>
    </row>
    <row r="85" spans="1:61" s="80" customFormat="1" hidden="1" x14ac:dyDescent="0.2">
      <c r="A85" s="80" t="s">
        <v>12</v>
      </c>
      <c r="B85" s="163"/>
      <c r="C85" s="81">
        <f t="shared" ref="C85:BH85" si="37">C80*C84</f>
        <v>0</v>
      </c>
      <c r="D85" s="81">
        <f t="shared" si="37"/>
        <v>0</v>
      </c>
      <c r="E85" s="81">
        <f t="shared" si="37"/>
        <v>0</v>
      </c>
      <c r="F85" s="81">
        <f t="shared" si="37"/>
        <v>0</v>
      </c>
      <c r="G85" s="81">
        <f t="shared" si="37"/>
        <v>0</v>
      </c>
      <c r="H85" s="81">
        <f t="shared" si="37"/>
        <v>0</v>
      </c>
      <c r="I85" s="81">
        <f t="shared" si="37"/>
        <v>0</v>
      </c>
      <c r="J85" s="81">
        <f t="shared" si="37"/>
        <v>0</v>
      </c>
      <c r="K85" s="81">
        <f t="shared" si="37"/>
        <v>0</v>
      </c>
      <c r="L85" s="81">
        <f t="shared" si="37"/>
        <v>0</v>
      </c>
      <c r="M85" s="81">
        <f t="shared" si="37"/>
        <v>0</v>
      </c>
      <c r="N85" s="81">
        <f t="shared" si="37"/>
        <v>0</v>
      </c>
      <c r="O85" s="81">
        <f t="shared" si="37"/>
        <v>0</v>
      </c>
      <c r="P85" s="81">
        <f t="shared" si="37"/>
        <v>0</v>
      </c>
      <c r="Q85" s="81">
        <f t="shared" si="37"/>
        <v>0</v>
      </c>
      <c r="R85" s="81">
        <f t="shared" si="37"/>
        <v>0</v>
      </c>
      <c r="S85" s="81">
        <f t="shared" si="37"/>
        <v>3510413.6631706352</v>
      </c>
      <c r="T85" s="81">
        <f t="shared" si="37"/>
        <v>7880548.9898443436</v>
      </c>
      <c r="U85" s="81">
        <f t="shared" si="37"/>
        <v>14971571.627299201</v>
      </c>
      <c r="V85" s="81">
        <f t="shared" si="37"/>
        <v>33552012.096041404</v>
      </c>
      <c r="W85" s="81">
        <f t="shared" si="37"/>
        <v>52725251.646070965</v>
      </c>
      <c r="X85" s="81">
        <f t="shared" si="37"/>
        <v>72491290.277387872</v>
      </c>
      <c r="Y85" s="81">
        <f t="shared" si="37"/>
        <v>92850127.989992142</v>
      </c>
      <c r="Z85" s="81">
        <f t="shared" si="37"/>
        <v>113801764.78388378</v>
      </c>
      <c r="AA85" s="81">
        <f t="shared" si="37"/>
        <v>126006193.72072072</v>
      </c>
      <c r="AB85" s="81">
        <f t="shared" si="37"/>
        <v>148003727.71870762</v>
      </c>
      <c r="AC85" s="81">
        <f t="shared" si="37"/>
        <v>170594060.7979818</v>
      </c>
      <c r="AD85" s="81">
        <f t="shared" si="37"/>
        <v>193777192.95854342</v>
      </c>
      <c r="AE85" s="81">
        <f t="shared" si="37"/>
        <v>220553413.42813244</v>
      </c>
      <c r="AF85" s="81">
        <f t="shared" si="37"/>
        <v>244964486.54278922</v>
      </c>
      <c r="AG85" s="81">
        <f t="shared" si="37"/>
        <v>273053333.54951453</v>
      </c>
      <c r="AH85" s="81">
        <f t="shared" si="37"/>
        <v>282119798.76596493</v>
      </c>
      <c r="AI85" s="81">
        <f t="shared" si="37"/>
        <v>308127225.37448376</v>
      </c>
      <c r="AJ85" s="81">
        <f t="shared" si="37"/>
        <v>334727451.06428999</v>
      </c>
      <c r="AK85" s="81">
        <f t="shared" si="37"/>
        <v>358666129.85852033</v>
      </c>
      <c r="AL85" s="81">
        <f t="shared" si="37"/>
        <v>386409610.91938072</v>
      </c>
      <c r="AM85" s="81">
        <f t="shared" si="37"/>
        <v>414745891.0615285</v>
      </c>
      <c r="AN85" s="81">
        <f t="shared" si="37"/>
        <v>429137476.53496361</v>
      </c>
      <c r="AO85" s="81">
        <f t="shared" si="37"/>
        <v>458477311.08968616</v>
      </c>
      <c r="AP85" s="81">
        <f t="shared" si="37"/>
        <v>488409944.72569603</v>
      </c>
      <c r="AQ85" s="81">
        <f t="shared" si="37"/>
        <v>518935377.44299316</v>
      </c>
      <c r="AR85" s="81">
        <f t="shared" si="37"/>
        <v>550053609.24157774</v>
      </c>
      <c r="AS85" s="81">
        <f t="shared" si="37"/>
        <v>581764640.12144959</v>
      </c>
      <c r="AT85" s="81">
        <f t="shared" si="37"/>
        <v>614068470.08260894</v>
      </c>
      <c r="AU85" s="81">
        <f t="shared" si="37"/>
        <v>631153299.12505555</v>
      </c>
      <c r="AV85" s="81">
        <f t="shared" si="37"/>
        <v>668180800.18237841</v>
      </c>
      <c r="AW85" s="81">
        <f t="shared" si="37"/>
        <v>702123326.42892027</v>
      </c>
      <c r="AX85" s="81">
        <f t="shared" si="37"/>
        <v>736658651.75674963</v>
      </c>
      <c r="AY85" s="81">
        <f t="shared" si="37"/>
        <v>775633921.22401667</v>
      </c>
      <c r="AZ85" s="81">
        <f t="shared" si="37"/>
        <v>807507699.65626991</v>
      </c>
      <c r="BA85" s="81">
        <f t="shared" si="37"/>
        <v>826917359.72796118</v>
      </c>
      <c r="BB85" s="81">
        <f t="shared" si="37"/>
        <v>859667664.19822764</v>
      </c>
      <c r="BC85" s="81">
        <f t="shared" si="37"/>
        <v>892926082.16674042</v>
      </c>
      <c r="BD85" s="81">
        <f t="shared" si="37"/>
        <v>926692613.63349938</v>
      </c>
      <c r="BE85" s="81">
        <f t="shared" si="37"/>
        <v>956866056.79123104</v>
      </c>
      <c r="BF85" s="81">
        <f t="shared" si="37"/>
        <v>987462927.86416793</v>
      </c>
      <c r="BG85" s="81">
        <f t="shared" si="37"/>
        <v>1018483226.8523101</v>
      </c>
      <c r="BH85" s="81">
        <f t="shared" si="37"/>
        <v>1031748585.0056576</v>
      </c>
      <c r="BI85" s="81"/>
    </row>
    <row r="86" spans="1:61" x14ac:dyDescent="0.2">
      <c r="B86" s="31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</row>
    <row r="87" spans="1:61" x14ac:dyDescent="0.2">
      <c r="A87" t="s">
        <v>13</v>
      </c>
      <c r="B87" s="31"/>
      <c r="C87" s="122">
        <f t="shared" ref="C87:AL87" si="38" xml:space="preserve"> D88</f>
        <v>0</v>
      </c>
      <c r="D87" s="122">
        <f t="shared" si="38"/>
        <v>0</v>
      </c>
      <c r="E87" s="122">
        <f t="shared" si="38"/>
        <v>0</v>
      </c>
      <c r="F87" s="122">
        <f t="shared" si="38"/>
        <v>1</v>
      </c>
      <c r="G87" s="122">
        <f t="shared" si="38"/>
        <v>1</v>
      </c>
      <c r="H87" s="122">
        <f t="shared" si="38"/>
        <v>1</v>
      </c>
      <c r="I87" s="122">
        <f t="shared" si="38"/>
        <v>1</v>
      </c>
      <c r="J87" s="122">
        <f t="shared" si="38"/>
        <v>1</v>
      </c>
      <c r="K87" s="122">
        <f t="shared" si="38"/>
        <v>1</v>
      </c>
      <c r="L87" s="122">
        <f t="shared" si="38"/>
        <v>1</v>
      </c>
      <c r="M87" s="122">
        <f t="shared" si="38"/>
        <v>1</v>
      </c>
      <c r="N87" s="122">
        <f t="shared" si="38"/>
        <v>1</v>
      </c>
      <c r="O87" s="122">
        <f t="shared" si="38"/>
        <v>1</v>
      </c>
      <c r="P87" s="122">
        <f t="shared" si="38"/>
        <v>1</v>
      </c>
      <c r="Q87" s="122">
        <f t="shared" si="38"/>
        <v>1</v>
      </c>
      <c r="R87" s="122">
        <f t="shared" si="38"/>
        <v>1</v>
      </c>
      <c r="S87" s="122">
        <f t="shared" si="38"/>
        <v>1</v>
      </c>
      <c r="T87" s="122">
        <f t="shared" si="38"/>
        <v>0</v>
      </c>
      <c r="U87" s="122">
        <f t="shared" si="38"/>
        <v>0</v>
      </c>
      <c r="V87" s="122">
        <f t="shared" si="38"/>
        <v>0</v>
      </c>
      <c r="W87" s="122">
        <f t="shared" si="38"/>
        <v>0</v>
      </c>
      <c r="X87" s="122">
        <f t="shared" si="38"/>
        <v>0</v>
      </c>
      <c r="Y87" s="122">
        <f t="shared" si="38"/>
        <v>1</v>
      </c>
      <c r="Z87" s="122">
        <f t="shared" si="38"/>
        <v>0</v>
      </c>
      <c r="AA87" s="122">
        <f t="shared" si="38"/>
        <v>0</v>
      </c>
      <c r="AB87" s="122">
        <f t="shared" si="38"/>
        <v>0</v>
      </c>
      <c r="AC87" s="122">
        <f t="shared" si="38"/>
        <v>0</v>
      </c>
      <c r="AD87" s="122">
        <f t="shared" si="38"/>
        <v>0</v>
      </c>
      <c r="AE87" s="122">
        <f t="shared" si="38"/>
        <v>0</v>
      </c>
      <c r="AF87" s="122">
        <f t="shared" si="38"/>
        <v>1</v>
      </c>
      <c r="AG87" s="122">
        <f t="shared" si="38"/>
        <v>0</v>
      </c>
      <c r="AH87" s="122">
        <f t="shared" si="38"/>
        <v>0</v>
      </c>
      <c r="AI87" s="122">
        <f t="shared" si="38"/>
        <v>0</v>
      </c>
      <c r="AJ87" s="122">
        <f t="shared" si="38"/>
        <v>0</v>
      </c>
      <c r="AK87" s="122">
        <f t="shared" si="38"/>
        <v>0</v>
      </c>
      <c r="AL87" s="122">
        <f t="shared" si="38"/>
        <v>0</v>
      </c>
      <c r="AM87" s="122">
        <f t="shared" ref="AM87:BH87" si="39" xml:space="preserve"> BI88</f>
        <v>0</v>
      </c>
      <c r="AN87" s="122">
        <f t="shared" si="39"/>
        <v>0</v>
      </c>
      <c r="AO87" s="122">
        <f t="shared" si="39"/>
        <v>0</v>
      </c>
      <c r="AP87" s="122">
        <f t="shared" si="39"/>
        <v>0</v>
      </c>
      <c r="AQ87" s="122">
        <f t="shared" si="39"/>
        <v>0</v>
      </c>
      <c r="AR87" s="122">
        <f t="shared" si="39"/>
        <v>0</v>
      </c>
      <c r="AS87" s="122">
        <f t="shared" si="39"/>
        <v>0</v>
      </c>
      <c r="AT87" s="122">
        <f t="shared" si="39"/>
        <v>0</v>
      </c>
      <c r="AU87" s="122">
        <f t="shared" si="39"/>
        <v>0</v>
      </c>
      <c r="AV87" s="122">
        <f t="shared" si="39"/>
        <v>0</v>
      </c>
      <c r="AW87" s="122">
        <f t="shared" si="39"/>
        <v>0</v>
      </c>
      <c r="AX87" s="122">
        <f t="shared" si="39"/>
        <v>0</v>
      </c>
      <c r="AY87" s="122">
        <f t="shared" si="39"/>
        <v>0</v>
      </c>
      <c r="AZ87" s="122">
        <f t="shared" si="39"/>
        <v>0</v>
      </c>
      <c r="BA87" s="122">
        <f t="shared" si="39"/>
        <v>0</v>
      </c>
      <c r="BB87" s="122">
        <f t="shared" si="39"/>
        <v>0</v>
      </c>
      <c r="BC87" s="122">
        <f t="shared" si="39"/>
        <v>0</v>
      </c>
      <c r="BD87" s="122">
        <f t="shared" si="39"/>
        <v>0</v>
      </c>
      <c r="BE87" s="122">
        <f t="shared" si="39"/>
        <v>0</v>
      </c>
      <c r="BF87" s="122">
        <f t="shared" si="39"/>
        <v>0</v>
      </c>
      <c r="BG87" s="122">
        <f t="shared" si="39"/>
        <v>0</v>
      </c>
      <c r="BH87" s="122">
        <f t="shared" si="39"/>
        <v>0</v>
      </c>
    </row>
    <row r="88" spans="1:61" x14ac:dyDescent="0.2">
      <c r="A88" t="s">
        <v>14</v>
      </c>
      <c r="B88" s="31"/>
      <c r="C88" s="122">
        <f t="shared" ref="C88:AL88" si="40" xml:space="preserve"> D89-C89</f>
        <v>0</v>
      </c>
      <c r="D88" s="122">
        <f t="shared" si="40"/>
        <v>0</v>
      </c>
      <c r="E88" s="122">
        <f t="shared" si="40"/>
        <v>0</v>
      </c>
      <c r="F88" s="122">
        <f t="shared" si="40"/>
        <v>0</v>
      </c>
      <c r="G88" s="122">
        <f t="shared" si="40"/>
        <v>1</v>
      </c>
      <c r="H88" s="122">
        <f t="shared" si="40"/>
        <v>1</v>
      </c>
      <c r="I88" s="122">
        <f t="shared" si="40"/>
        <v>1</v>
      </c>
      <c r="J88" s="122">
        <f t="shared" si="40"/>
        <v>1</v>
      </c>
      <c r="K88" s="122">
        <f t="shared" si="40"/>
        <v>1</v>
      </c>
      <c r="L88" s="122">
        <f t="shared" si="40"/>
        <v>1</v>
      </c>
      <c r="M88" s="122">
        <f t="shared" si="40"/>
        <v>1</v>
      </c>
      <c r="N88" s="122">
        <f t="shared" si="40"/>
        <v>1</v>
      </c>
      <c r="O88" s="122">
        <f t="shared" si="40"/>
        <v>1</v>
      </c>
      <c r="P88" s="122">
        <f t="shared" si="40"/>
        <v>1</v>
      </c>
      <c r="Q88" s="122">
        <f t="shared" si="40"/>
        <v>1</v>
      </c>
      <c r="R88" s="122">
        <f t="shared" si="40"/>
        <v>1</v>
      </c>
      <c r="S88" s="122">
        <f t="shared" si="40"/>
        <v>1</v>
      </c>
      <c r="T88" s="122">
        <f t="shared" si="40"/>
        <v>1</v>
      </c>
      <c r="U88" s="122">
        <f t="shared" si="40"/>
        <v>0</v>
      </c>
      <c r="V88" s="122">
        <f t="shared" si="40"/>
        <v>0</v>
      </c>
      <c r="W88" s="122">
        <f t="shared" si="40"/>
        <v>0</v>
      </c>
      <c r="X88" s="122">
        <f t="shared" si="40"/>
        <v>0</v>
      </c>
      <c r="Y88" s="122">
        <f t="shared" si="40"/>
        <v>0</v>
      </c>
      <c r="Z88" s="122">
        <f t="shared" si="40"/>
        <v>1</v>
      </c>
      <c r="AA88" s="122">
        <f t="shared" si="40"/>
        <v>0</v>
      </c>
      <c r="AB88" s="122">
        <f t="shared" si="40"/>
        <v>0</v>
      </c>
      <c r="AC88" s="122">
        <f t="shared" si="40"/>
        <v>0</v>
      </c>
      <c r="AD88" s="122">
        <f t="shared" si="40"/>
        <v>0</v>
      </c>
      <c r="AE88" s="122">
        <f t="shared" si="40"/>
        <v>0</v>
      </c>
      <c r="AF88" s="122">
        <f t="shared" si="40"/>
        <v>0</v>
      </c>
      <c r="AG88" s="122">
        <f t="shared" si="40"/>
        <v>1</v>
      </c>
      <c r="AH88" s="122">
        <f t="shared" si="40"/>
        <v>0</v>
      </c>
      <c r="AI88" s="122">
        <f t="shared" si="40"/>
        <v>0</v>
      </c>
      <c r="AJ88" s="122">
        <f t="shared" si="40"/>
        <v>0</v>
      </c>
      <c r="AK88" s="122">
        <f t="shared" si="40"/>
        <v>0</v>
      </c>
      <c r="AL88" s="122">
        <f t="shared" si="40"/>
        <v>0</v>
      </c>
      <c r="AM88" s="122">
        <v>0</v>
      </c>
      <c r="AN88" s="122">
        <v>0</v>
      </c>
      <c r="AO88" s="122">
        <v>0</v>
      </c>
      <c r="AP88" s="122">
        <v>0</v>
      </c>
      <c r="AQ88" s="122">
        <v>0</v>
      </c>
      <c r="AR88" s="122">
        <v>0</v>
      </c>
      <c r="AS88" s="122">
        <v>0</v>
      </c>
      <c r="AT88" s="122">
        <v>0</v>
      </c>
      <c r="AU88" s="122">
        <v>0</v>
      </c>
      <c r="AV88" s="122">
        <v>0</v>
      </c>
      <c r="AW88" s="122">
        <v>0</v>
      </c>
      <c r="AX88" s="122">
        <v>0</v>
      </c>
      <c r="AY88" s="122">
        <v>0</v>
      </c>
      <c r="AZ88" s="122">
        <v>0</v>
      </c>
      <c r="BA88" s="122">
        <v>0</v>
      </c>
      <c r="BB88" s="122">
        <v>0</v>
      </c>
      <c r="BC88" s="122">
        <v>0</v>
      </c>
      <c r="BD88" s="122">
        <v>0</v>
      </c>
      <c r="BE88" s="122">
        <v>0</v>
      </c>
      <c r="BF88" s="122">
        <v>0</v>
      </c>
      <c r="BG88" s="122">
        <v>0</v>
      </c>
      <c r="BH88" s="122">
        <v>0</v>
      </c>
    </row>
    <row r="89" spans="1:61" x14ac:dyDescent="0.2">
      <c r="A89" t="s">
        <v>15</v>
      </c>
      <c r="B89" s="31"/>
      <c r="C89">
        <v>0</v>
      </c>
      <c r="D89">
        <f>IF(AND(D74&gt;0),C89+1,C89)</f>
        <v>0</v>
      </c>
      <c r="E89">
        <f>IF(AND(E74&gt;1,D100&lt;0.5),D89+1,D89)</f>
        <v>0</v>
      </c>
      <c r="F89">
        <f>IF(AND(F74&gt;1,E100&lt;0.3),E89+1,E89)</f>
        <v>0</v>
      </c>
      <c r="G89">
        <f>IF(AND(G74&gt;1,F100&lt;0.3),F89+1,F89)</f>
        <v>0</v>
      </c>
      <c r="H89">
        <f>IF(AND(H74&gt;=1,G100&lt;0.4),G89+1,G89)</f>
        <v>1</v>
      </c>
      <c r="I89">
        <f t="shared" ref="I89:BH89" si="41">IF(AND(I74&gt;1,H100&lt;0.3),H89+1,H89)</f>
        <v>2</v>
      </c>
      <c r="J89">
        <f t="shared" si="41"/>
        <v>3</v>
      </c>
      <c r="K89">
        <f t="shared" si="41"/>
        <v>4</v>
      </c>
      <c r="L89">
        <f t="shared" si="41"/>
        <v>5</v>
      </c>
      <c r="M89">
        <f t="shared" si="41"/>
        <v>6</v>
      </c>
      <c r="N89">
        <f t="shared" si="41"/>
        <v>7</v>
      </c>
      <c r="O89">
        <f t="shared" si="41"/>
        <v>8</v>
      </c>
      <c r="P89">
        <f t="shared" si="41"/>
        <v>9</v>
      </c>
      <c r="Q89">
        <f t="shared" si="41"/>
        <v>10</v>
      </c>
      <c r="R89">
        <f t="shared" si="41"/>
        <v>11</v>
      </c>
      <c r="S89">
        <f t="shared" si="41"/>
        <v>12</v>
      </c>
      <c r="T89">
        <f t="shared" si="41"/>
        <v>13</v>
      </c>
      <c r="U89">
        <f t="shared" si="41"/>
        <v>14</v>
      </c>
      <c r="V89">
        <f t="shared" si="41"/>
        <v>14</v>
      </c>
      <c r="W89">
        <f t="shared" si="41"/>
        <v>14</v>
      </c>
      <c r="X89">
        <f t="shared" si="41"/>
        <v>14</v>
      </c>
      <c r="Y89">
        <f t="shared" si="41"/>
        <v>14</v>
      </c>
      <c r="Z89">
        <f t="shared" si="41"/>
        <v>14</v>
      </c>
      <c r="AA89">
        <f t="shared" si="41"/>
        <v>15</v>
      </c>
      <c r="AB89">
        <f t="shared" si="41"/>
        <v>15</v>
      </c>
      <c r="AC89">
        <f t="shared" si="41"/>
        <v>15</v>
      </c>
      <c r="AD89">
        <f t="shared" si="41"/>
        <v>15</v>
      </c>
      <c r="AE89">
        <f t="shared" si="41"/>
        <v>15</v>
      </c>
      <c r="AF89">
        <f t="shared" si="41"/>
        <v>15</v>
      </c>
      <c r="AG89">
        <f t="shared" si="41"/>
        <v>15</v>
      </c>
      <c r="AH89">
        <f t="shared" si="41"/>
        <v>16</v>
      </c>
      <c r="AI89">
        <f t="shared" si="41"/>
        <v>16</v>
      </c>
      <c r="AJ89">
        <f t="shared" si="41"/>
        <v>16</v>
      </c>
      <c r="AK89">
        <f t="shared" si="41"/>
        <v>16</v>
      </c>
      <c r="AL89">
        <f t="shared" si="41"/>
        <v>16</v>
      </c>
      <c r="AM89">
        <f t="shared" si="41"/>
        <v>16</v>
      </c>
      <c r="AN89">
        <f t="shared" si="41"/>
        <v>17</v>
      </c>
      <c r="AO89">
        <f t="shared" si="41"/>
        <v>17</v>
      </c>
      <c r="AP89">
        <f t="shared" si="41"/>
        <v>17</v>
      </c>
      <c r="AQ89">
        <f t="shared" si="41"/>
        <v>17</v>
      </c>
      <c r="AR89">
        <f t="shared" si="41"/>
        <v>17</v>
      </c>
      <c r="AS89">
        <f t="shared" si="41"/>
        <v>17</v>
      </c>
      <c r="AT89">
        <f t="shared" si="41"/>
        <v>17</v>
      </c>
      <c r="AU89">
        <f t="shared" si="41"/>
        <v>18</v>
      </c>
      <c r="AV89">
        <f t="shared" si="41"/>
        <v>18</v>
      </c>
      <c r="AW89">
        <f t="shared" si="41"/>
        <v>18</v>
      </c>
      <c r="AX89">
        <f t="shared" si="41"/>
        <v>18</v>
      </c>
      <c r="AY89">
        <f t="shared" si="41"/>
        <v>18</v>
      </c>
      <c r="AZ89">
        <f t="shared" si="41"/>
        <v>18</v>
      </c>
      <c r="BA89">
        <f t="shared" si="41"/>
        <v>19</v>
      </c>
      <c r="BB89">
        <f t="shared" si="41"/>
        <v>19</v>
      </c>
      <c r="BC89">
        <f t="shared" si="41"/>
        <v>19</v>
      </c>
      <c r="BD89">
        <f t="shared" si="41"/>
        <v>19</v>
      </c>
      <c r="BE89">
        <f t="shared" si="41"/>
        <v>19</v>
      </c>
      <c r="BF89">
        <f t="shared" si="41"/>
        <v>19</v>
      </c>
      <c r="BG89">
        <f t="shared" si="41"/>
        <v>19</v>
      </c>
      <c r="BH89">
        <f t="shared" si="41"/>
        <v>20</v>
      </c>
    </row>
    <row r="90" spans="1:61" x14ac:dyDescent="0.2">
      <c r="A90" t="s">
        <v>16</v>
      </c>
      <c r="B90" s="31"/>
      <c r="C90" s="5">
        <f>C89*'Levellized Salt Refinery Plant '!$C$53</f>
        <v>0</v>
      </c>
      <c r="D90" s="5">
        <f>D89*'Levellized Salt Refinery Plant '!$C$53</f>
        <v>0</v>
      </c>
      <c r="E90" s="5">
        <f>E89*'Levellized Salt Refinery Plant '!$C$53</f>
        <v>0</v>
      </c>
      <c r="F90" s="5">
        <f>F89*'Levellized Salt Refinery Plant '!$C$53</f>
        <v>0</v>
      </c>
      <c r="G90" s="5">
        <f>G89*'Levellized Salt Refinery Plant '!$C$53</f>
        <v>0</v>
      </c>
      <c r="H90" s="5">
        <f>H89*'Levellized Salt Refinery Plant '!$C$53</f>
        <v>86687.5</v>
      </c>
      <c r="I90" s="5">
        <f>I89*'Levellized Salt Refinery Plant '!$C$53</f>
        <v>173375</v>
      </c>
      <c r="J90" s="5">
        <f>J89*'Levellized Salt Refinery Plant '!$C$53</f>
        <v>260062.5</v>
      </c>
      <c r="K90" s="5">
        <f>K89*'Levellized Salt Refinery Plant '!$C$53</f>
        <v>346750</v>
      </c>
      <c r="L90" s="5">
        <f>L89*'Levellized Salt Refinery Plant '!$C$53</f>
        <v>433437.5</v>
      </c>
      <c r="M90" s="5">
        <f>M89*'Levellized Salt Refinery Plant '!$C$53</f>
        <v>520125</v>
      </c>
      <c r="N90" s="5">
        <f>N89*'Levellized Salt Refinery Plant '!$C$53</f>
        <v>606812.5</v>
      </c>
      <c r="O90" s="5">
        <f>O89*'Levellized Salt Refinery Plant '!$C$53</f>
        <v>693500</v>
      </c>
      <c r="P90" s="5">
        <f>P89*'Levellized Salt Refinery Plant '!$C$53</f>
        <v>780187.5</v>
      </c>
      <c r="Q90" s="5">
        <f>Q89*'Levellized Salt Refinery Plant '!$C$53</f>
        <v>866875</v>
      </c>
      <c r="R90" s="5">
        <f>R89*'Levellized Salt Refinery Plant '!$C$53</f>
        <v>953562.5</v>
      </c>
      <c r="S90" s="5">
        <f>S89*'Levellized Salt Refinery Plant '!$C$53</f>
        <v>1040250</v>
      </c>
      <c r="T90" s="5">
        <f>T89*'Levellized Salt Refinery Plant '!$C$53</f>
        <v>1126937.5</v>
      </c>
      <c r="U90" s="5">
        <f>U89*'Levellized Salt Refinery Plant '!$C$53</f>
        <v>1213625</v>
      </c>
      <c r="V90" s="5">
        <f>V89*'Levellized Salt Refinery Plant '!$C$53</f>
        <v>1213625</v>
      </c>
      <c r="W90" s="5">
        <f>W89*'Levellized Salt Refinery Plant '!$C$53</f>
        <v>1213625</v>
      </c>
      <c r="X90" s="5">
        <f>X89*'Levellized Salt Refinery Plant '!$C$53</f>
        <v>1213625</v>
      </c>
      <c r="Y90" s="5">
        <f>Y89*'Levellized Salt Refinery Plant '!$C$53</f>
        <v>1213625</v>
      </c>
      <c r="Z90" s="5">
        <f>Z89*'Levellized Salt Refinery Plant '!$C$53</f>
        <v>1213625</v>
      </c>
      <c r="AA90" s="5">
        <f>AA89*'Levellized Salt Refinery Plant '!$C$53</f>
        <v>1300312.5</v>
      </c>
      <c r="AB90" s="5">
        <f>AB89*'Levellized Salt Refinery Plant '!$C$53</f>
        <v>1300312.5</v>
      </c>
      <c r="AC90" s="5">
        <f>AC89*'Levellized Salt Refinery Plant '!$C$53</f>
        <v>1300312.5</v>
      </c>
      <c r="AD90" s="5">
        <f>AD89*'Levellized Salt Refinery Plant '!$C$53</f>
        <v>1300312.5</v>
      </c>
      <c r="AE90" s="5">
        <f>AE89*'Levellized Salt Refinery Plant '!$C$53</f>
        <v>1300312.5</v>
      </c>
      <c r="AF90" s="5">
        <f>AF89*'Levellized Salt Refinery Plant '!$C$53</f>
        <v>1300312.5</v>
      </c>
      <c r="AG90" s="5">
        <f>AG89*'Levellized Salt Refinery Plant '!$C$53</f>
        <v>1300312.5</v>
      </c>
      <c r="AH90" s="5">
        <f>AH89*'Levellized Salt Refinery Plant '!$C$53</f>
        <v>1387000</v>
      </c>
      <c r="AI90" s="5">
        <f>AI89*'Levellized Salt Refinery Plant '!$C$53</f>
        <v>1387000</v>
      </c>
      <c r="AJ90" s="5">
        <f>AJ89*'Levellized Salt Refinery Plant '!$C$53</f>
        <v>1387000</v>
      </c>
      <c r="AK90" s="5">
        <f>AK89*'Levellized Salt Refinery Plant '!$C$53</f>
        <v>1387000</v>
      </c>
      <c r="AL90" s="5">
        <f>AL89*'Levellized Salt Refinery Plant '!$C$53</f>
        <v>1387000</v>
      </c>
      <c r="AM90" s="5">
        <f>AM89*'Levellized Salt Refinery Plant '!$C$53</f>
        <v>1387000</v>
      </c>
      <c r="AN90" s="5">
        <f>AN89*'Levellized Salt Refinery Plant '!$C$53</f>
        <v>1473687.5</v>
      </c>
      <c r="AO90" s="5">
        <f>AO89*'Levellized Salt Refinery Plant '!$C$53</f>
        <v>1473687.5</v>
      </c>
      <c r="AP90" s="5">
        <f>AP89*'Levellized Salt Refinery Plant '!$C$53</f>
        <v>1473687.5</v>
      </c>
      <c r="AQ90" s="5">
        <f>AQ89*'Levellized Salt Refinery Plant '!$C$53</f>
        <v>1473687.5</v>
      </c>
      <c r="AR90" s="5">
        <f>AR89*'Levellized Salt Refinery Plant '!$C$53</f>
        <v>1473687.5</v>
      </c>
      <c r="AS90" s="5">
        <f>AS89*'Levellized Salt Refinery Plant '!$C$53</f>
        <v>1473687.5</v>
      </c>
      <c r="AT90" s="5">
        <f>AT89*'Levellized Salt Refinery Plant '!$C$53</f>
        <v>1473687.5</v>
      </c>
      <c r="AU90" s="5">
        <f>AU89*'Levellized Salt Refinery Plant '!$C$53</f>
        <v>1560375</v>
      </c>
      <c r="AV90" s="5">
        <f>AV89*'Levellized Salt Refinery Plant '!$C$53</f>
        <v>1560375</v>
      </c>
      <c r="AW90" s="5">
        <f>AW89*'Levellized Salt Refinery Plant '!$C$53</f>
        <v>1560375</v>
      </c>
      <c r="AX90" s="5">
        <f>AX89*'Levellized Salt Refinery Plant '!$C$53</f>
        <v>1560375</v>
      </c>
      <c r="AY90" s="5">
        <f>AY89*'Levellized Salt Refinery Plant '!$C$53</f>
        <v>1560375</v>
      </c>
      <c r="AZ90" s="5">
        <f>AZ89*'Levellized Salt Refinery Plant '!$C$53</f>
        <v>1560375</v>
      </c>
      <c r="BA90" s="5">
        <f>BA89*'Levellized Salt Refinery Plant '!$C$53</f>
        <v>1647062.5</v>
      </c>
      <c r="BB90" s="5">
        <f>BB89*'Levellized Salt Refinery Plant '!$C$53</f>
        <v>1647062.5</v>
      </c>
      <c r="BC90" s="5">
        <f>BC89*'Levellized Salt Refinery Plant '!$C$53</f>
        <v>1647062.5</v>
      </c>
      <c r="BD90" s="5">
        <f>BD89*'Levellized Salt Refinery Plant '!$C$53</f>
        <v>1647062.5</v>
      </c>
      <c r="BE90" s="5">
        <f>BE89*'Levellized Salt Refinery Plant '!$C$53</f>
        <v>1647062.5</v>
      </c>
      <c r="BF90" s="5">
        <f>BF89*'Levellized Salt Refinery Plant '!$C$53</f>
        <v>1647062.5</v>
      </c>
      <c r="BG90" s="5">
        <f>BG89*'Levellized Salt Refinery Plant '!$C$53</f>
        <v>1647062.5</v>
      </c>
      <c r="BH90" s="5">
        <f>BH89*'Levellized Salt Refinery Plant '!$C$53</f>
        <v>1733750</v>
      </c>
      <c r="BI90" s="5"/>
    </row>
    <row r="91" spans="1:61" s="82" customFormat="1" hidden="1" x14ac:dyDescent="0.2">
      <c r="A91" s="82" t="s">
        <v>17</v>
      </c>
      <c r="B91" s="156"/>
      <c r="C91" s="83">
        <f>IF(C88&gt;0,C88*'Levellized Salt Refinery Plant '!$C$2,0)</f>
        <v>0</v>
      </c>
      <c r="D91" s="83">
        <f>IF(D88&gt;0,D88*'Levellized Salt Refinery Plant '!$C$2,0)</f>
        <v>0</v>
      </c>
      <c r="E91" s="83">
        <f>IF(E88&gt;0,E88*'Levellized Salt Refinery Plant '!$C$2,0)</f>
        <v>0</v>
      </c>
      <c r="F91" s="83">
        <f>IF(F88&gt;0,F88*'Levellized Salt Refinery Plant '!$C$2,0)</f>
        <v>0</v>
      </c>
      <c r="G91" s="83">
        <f>IF(G88&gt;0,G88*'Levellized Salt Refinery Plant '!$C$2,0)</f>
        <v>2185910</v>
      </c>
      <c r="H91" s="83">
        <f>IF(H88&gt;0,H88*'Levellized Salt Refinery Plant '!$C$2,0)</f>
        <v>2185910</v>
      </c>
      <c r="I91" s="83">
        <f>IF(I88&gt;0,I88*'Levellized Salt Refinery Plant '!$C$2,0)</f>
        <v>2185910</v>
      </c>
      <c r="J91" s="83">
        <f>IF(J88&gt;0,J88*'Levellized Salt Refinery Plant '!$C$2,0)</f>
        <v>2185910</v>
      </c>
      <c r="K91" s="83">
        <f>IF(K88&gt;0,K88*'Levellized Salt Refinery Plant '!$C$2,0)</f>
        <v>2185910</v>
      </c>
      <c r="L91" s="83">
        <f>IF(L88&gt;0,L88*'Levellized Salt Refinery Plant '!$C$2,0)</f>
        <v>2185910</v>
      </c>
      <c r="M91" s="83">
        <f>IF(M88&gt;0,M88*'Levellized Salt Refinery Plant '!$C$2,0)</f>
        <v>2185910</v>
      </c>
      <c r="N91" s="83">
        <f>IF(N88&gt;0,N88*'Levellized Salt Refinery Plant '!$C$2,0)</f>
        <v>2185910</v>
      </c>
      <c r="O91" s="83">
        <f>IF(O88&gt;0,O88*'Levellized Salt Refinery Plant '!$C$2,0)</f>
        <v>2185910</v>
      </c>
      <c r="P91" s="83">
        <f>IF(P88&gt;0,P88*'Levellized Salt Refinery Plant '!$C$2,0)</f>
        <v>2185910</v>
      </c>
      <c r="Q91" s="83">
        <f>IF(Q88&gt;0,Q88*'Levellized Salt Refinery Plant '!$C$2,0)</f>
        <v>2185910</v>
      </c>
      <c r="R91" s="83">
        <f>IF(R88&gt;0,R88*'Levellized Salt Refinery Plant '!$C$2,0)</f>
        <v>2185910</v>
      </c>
      <c r="S91" s="83">
        <f>IF(S88&gt;0,S88*'Levellized Salt Refinery Plant '!$C$2,0)</f>
        <v>2185910</v>
      </c>
      <c r="T91" s="83">
        <f>IF(T88&gt;0,T88*'Levellized Salt Refinery Plant '!$C$2,0)</f>
        <v>2185910</v>
      </c>
      <c r="U91" s="83">
        <f>IF(U88&gt;0,U88*'Levellized Salt Refinery Plant '!$C$2,0)</f>
        <v>0</v>
      </c>
      <c r="V91" s="83">
        <f>IF(V88&gt;0,V88*'Levellized Salt Refinery Plant '!$C$2,0)</f>
        <v>0</v>
      </c>
      <c r="W91" s="83">
        <f>IF(W88&gt;0,W88*'Levellized Salt Refinery Plant '!$C$2,0)</f>
        <v>0</v>
      </c>
      <c r="X91" s="83">
        <f>IF(X88&gt;0,X88*'Levellized Salt Refinery Plant '!$C$2,0)</f>
        <v>0</v>
      </c>
      <c r="Y91" s="83">
        <f>IF(Y88&gt;0,Y88*'Levellized Salt Refinery Plant '!$C$2,0)</f>
        <v>0</v>
      </c>
      <c r="Z91" s="83">
        <f>IF(Z88&gt;0,Z88*'Levellized Salt Refinery Plant '!$C$2,0)</f>
        <v>2185910</v>
      </c>
      <c r="AA91" s="83">
        <f>IF(AA88&gt;0,AA88*'Levellized Salt Refinery Plant '!$C$2,0)</f>
        <v>0</v>
      </c>
      <c r="AB91" s="83">
        <f>IF(AB88&gt;0,AB88*'Levellized Salt Refinery Plant '!$C$2,0)</f>
        <v>0</v>
      </c>
      <c r="AC91" s="83">
        <f>IF(AC88&gt;0,AC88*'Levellized Salt Refinery Plant '!$C$2,0)</f>
        <v>0</v>
      </c>
      <c r="AD91" s="83">
        <f>IF(AD88&gt;0,AD88*'Levellized Salt Refinery Plant '!$C$2,0)</f>
        <v>0</v>
      </c>
      <c r="AE91" s="83">
        <f>IF(AE88&gt;0,AE88*'Levellized Salt Refinery Plant '!$C$2,0)</f>
        <v>0</v>
      </c>
      <c r="AF91" s="83">
        <f>IF(AF88&gt;0,AF88*'Levellized Salt Refinery Plant '!$C$2,0)</f>
        <v>0</v>
      </c>
      <c r="AG91" s="83">
        <f>IF(AG88&gt;0,AG88*'Levellized Salt Refinery Plant '!$C$2,0)</f>
        <v>2185910</v>
      </c>
      <c r="AH91" s="83">
        <f>IF(AH88&gt;0,AH88*'Levellized Salt Refinery Plant '!$C$2,0)</f>
        <v>0</v>
      </c>
      <c r="AI91" s="83">
        <f>IF(AI88&gt;0,AI88*'Levellized Salt Refinery Plant '!$C$2,0)</f>
        <v>0</v>
      </c>
      <c r="AJ91" s="83">
        <f>IF(AJ88&gt;0,AJ88*'Levellized Salt Refinery Plant '!$C$2,0)</f>
        <v>0</v>
      </c>
      <c r="AK91" s="83">
        <f>IF(AK88&gt;0,AK88*'Levellized Salt Refinery Plant '!$C$2,0)</f>
        <v>0</v>
      </c>
      <c r="AL91" s="83">
        <f>IF(AL88&gt;0,AL88*'Levellized Salt Refinery Plant '!$C$2,0)</f>
        <v>0</v>
      </c>
      <c r="AM91" s="83">
        <f>IF(AM88&gt;0,AM88*'Levellized Salt Refinery Plant '!$C$2,0)</f>
        <v>0</v>
      </c>
      <c r="AN91" s="83">
        <f>IF(AN88&gt;0,AN88*'Levellized Salt Refinery Plant '!$C$2,0)</f>
        <v>0</v>
      </c>
      <c r="AO91" s="83">
        <f>IF(AO88&gt;0,AO88*'Levellized Salt Refinery Plant '!$C$2,0)</f>
        <v>0</v>
      </c>
      <c r="AP91" s="83">
        <f>IF(AP88&gt;0,AP88*'Levellized Salt Refinery Plant '!$C$2,0)</f>
        <v>0</v>
      </c>
      <c r="AQ91" s="83">
        <f>IF(AQ88&gt;0,AQ88*'Levellized Salt Refinery Plant '!$C$2,0)</f>
        <v>0</v>
      </c>
      <c r="AR91" s="83">
        <f>IF(AR88&gt;0,AR88*'Levellized Salt Refinery Plant '!$C$2,0)</f>
        <v>0</v>
      </c>
      <c r="AS91" s="83">
        <f>IF(AS88&gt;0,AS88*'Levellized Salt Refinery Plant '!$C$2,0)</f>
        <v>0</v>
      </c>
      <c r="AT91" s="83">
        <f>IF(AT88&gt;0,AT88*'Levellized Salt Refinery Plant '!$C$2,0)</f>
        <v>0</v>
      </c>
      <c r="AU91" s="83">
        <f>IF(AU88&gt;0,AU88*'Levellized Salt Refinery Plant '!$C$2,0)</f>
        <v>0</v>
      </c>
      <c r="AV91" s="83">
        <f>IF(AV88&gt;0,AV88*'Levellized Salt Refinery Plant '!$C$2,0)</f>
        <v>0</v>
      </c>
      <c r="AW91" s="83">
        <f>IF(AW88&gt;0,AW88*'Levellized Salt Refinery Plant '!$C$2,0)</f>
        <v>0</v>
      </c>
      <c r="AX91" s="83">
        <f>IF(AX88&gt;0,AX88*'Levellized Salt Refinery Plant '!$C$2,0)</f>
        <v>0</v>
      </c>
      <c r="AY91" s="83">
        <f>IF(AY88&gt;0,AY88*'Levellized Salt Refinery Plant '!$C$2,0)</f>
        <v>0</v>
      </c>
      <c r="AZ91" s="83">
        <f>IF(AZ88&gt;0,AZ88*'Levellized Salt Refinery Plant '!$C$2,0)</f>
        <v>0</v>
      </c>
      <c r="BA91" s="83">
        <f>IF(BA88&gt;0,BA88*'Levellized Salt Refinery Plant '!$C$2,0)</f>
        <v>0</v>
      </c>
      <c r="BB91" s="83">
        <f>IF(BB88&gt;0,BB88*'Levellized Salt Refinery Plant '!$C$2,0)</f>
        <v>0</v>
      </c>
      <c r="BC91" s="83">
        <f>IF(BC88&gt;0,BC88*'Levellized Salt Refinery Plant '!$C$2,0)</f>
        <v>0</v>
      </c>
      <c r="BD91" s="83">
        <f>IF(BD88&gt;0,BD88*'Levellized Salt Refinery Plant '!$C$2,0)</f>
        <v>0</v>
      </c>
      <c r="BE91" s="83">
        <f>IF(BE88&gt;0,BE88*'Levellized Salt Refinery Plant '!$C$2,0)</f>
        <v>0</v>
      </c>
      <c r="BF91" s="83">
        <f>IF(BF88&gt;0,BF88*'Levellized Salt Refinery Plant '!$C$2,0)</f>
        <v>0</v>
      </c>
      <c r="BG91" s="83">
        <f>IF(BG88&gt;0,BG88*'Levellized Salt Refinery Plant '!$C$2,0)</f>
        <v>0</v>
      </c>
      <c r="BH91" s="83">
        <f>IF(BH88&gt;0,BH88*'Levellized Salt Refinery Plant '!$C$2,0)</f>
        <v>0</v>
      </c>
      <c r="BI91" s="83"/>
    </row>
    <row r="92" spans="1:61" s="82" customFormat="1" hidden="1" x14ac:dyDescent="0.2">
      <c r="A92" s="82" t="s">
        <v>18</v>
      </c>
      <c r="B92" s="156"/>
      <c r="C92" s="83">
        <f>C89*'Levellized Salt Refinery Plant '!$C$35</f>
        <v>0</v>
      </c>
      <c r="D92" s="83">
        <f>D89*'Levellized Salt Refinery Plant '!$C$35</f>
        <v>0</v>
      </c>
      <c r="E92" s="83">
        <f>E89*'Levellized Salt Refinery Plant '!$C$35</f>
        <v>0</v>
      </c>
      <c r="F92" s="83">
        <f>F89*'Levellized Salt Refinery Plant '!$C$35</f>
        <v>0</v>
      </c>
      <c r="G92" s="83">
        <f>G89*'Levellized Salt Refinery Plant '!$C$35</f>
        <v>0</v>
      </c>
      <c r="H92" s="83">
        <f>H89*'Levellized Salt Refinery Plant '!$C$35</f>
        <v>3604613.0585757503</v>
      </c>
      <c r="I92" s="83">
        <f>I89*'Levellized Salt Refinery Plant '!$C$35</f>
        <v>7209226.1171515007</v>
      </c>
      <c r="J92" s="83">
        <f>J89*'Levellized Salt Refinery Plant '!$C$35</f>
        <v>10813839.175727252</v>
      </c>
      <c r="K92" s="83">
        <f>K89*'Levellized Salt Refinery Plant '!$C$35</f>
        <v>14418452.234303001</v>
      </c>
      <c r="L92" s="83">
        <f>L89*'Levellized Salt Refinery Plant '!$C$35</f>
        <v>18023065.292878751</v>
      </c>
      <c r="M92" s="83">
        <f>M89*'Levellized Salt Refinery Plant '!$C$35</f>
        <v>21627678.351454504</v>
      </c>
      <c r="N92" s="83">
        <f>N89*'Levellized Salt Refinery Plant '!$C$35</f>
        <v>25232291.410030253</v>
      </c>
      <c r="O92" s="83">
        <f>O89*'Levellized Salt Refinery Plant '!$C$35</f>
        <v>28836904.468606003</v>
      </c>
      <c r="P92" s="83">
        <f>P89*'Levellized Salt Refinery Plant '!$C$35</f>
        <v>32441517.527181752</v>
      </c>
      <c r="Q92" s="83">
        <f>Q89*'Levellized Salt Refinery Plant '!$C$35</f>
        <v>36046130.585757501</v>
      </c>
      <c r="R92" s="83">
        <f>R89*'Levellized Salt Refinery Plant '!$C$35</f>
        <v>39650743.644333251</v>
      </c>
      <c r="S92" s="83">
        <f>S89*'Levellized Salt Refinery Plant '!$C$35</f>
        <v>43255356.702909008</v>
      </c>
      <c r="T92" s="83">
        <f>T89*'Levellized Salt Refinery Plant '!$C$35</f>
        <v>46859969.761484757</v>
      </c>
      <c r="U92" s="83">
        <f>U89*'Levellized Salt Refinery Plant '!$C$35</f>
        <v>50464582.820060506</v>
      </c>
      <c r="V92" s="83">
        <f>V89*'Levellized Salt Refinery Plant '!$C$35</f>
        <v>50464582.820060506</v>
      </c>
      <c r="W92" s="83">
        <f>W89*'Levellized Salt Refinery Plant '!$C$35</f>
        <v>50464582.820060506</v>
      </c>
      <c r="X92" s="83">
        <f>X89*'Levellized Salt Refinery Plant '!$C$35</f>
        <v>50464582.820060506</v>
      </c>
      <c r="Y92" s="83">
        <f>Y89*'Levellized Salt Refinery Plant '!$C$35</f>
        <v>50464582.820060506</v>
      </c>
      <c r="Z92" s="83">
        <f>Z89*'Levellized Salt Refinery Plant '!$C$35</f>
        <v>50464582.820060506</v>
      </c>
      <c r="AA92" s="83">
        <f>AA89*'Levellized Salt Refinery Plant '!$C$35</f>
        <v>54069195.878636256</v>
      </c>
      <c r="AB92" s="83">
        <f>AB89*'Levellized Salt Refinery Plant '!$C$35</f>
        <v>54069195.878636256</v>
      </c>
      <c r="AC92" s="83">
        <f>AC89*'Levellized Salt Refinery Plant '!$C$35</f>
        <v>54069195.878636256</v>
      </c>
      <c r="AD92" s="83">
        <f>AD89*'Levellized Salt Refinery Plant '!$C$35</f>
        <v>54069195.878636256</v>
      </c>
      <c r="AE92" s="83">
        <f>AE89*'Levellized Salt Refinery Plant '!$C$35</f>
        <v>54069195.878636256</v>
      </c>
      <c r="AF92" s="83">
        <f>AF89*'Levellized Salt Refinery Plant '!$C$35</f>
        <v>54069195.878636256</v>
      </c>
      <c r="AG92" s="83">
        <f>AG89*'Levellized Salt Refinery Plant '!$C$35</f>
        <v>54069195.878636256</v>
      </c>
      <c r="AH92" s="83">
        <f>AH89*'Levellized Salt Refinery Plant '!$C$35</f>
        <v>57673808.937212005</v>
      </c>
      <c r="AI92" s="83">
        <f>AI89*'Levellized Salt Refinery Plant '!$C$35</f>
        <v>57673808.937212005</v>
      </c>
      <c r="AJ92" s="83">
        <f>AJ89*'Levellized Salt Refinery Plant '!$C$35</f>
        <v>57673808.937212005</v>
      </c>
      <c r="AK92" s="83">
        <f>AK89*'Levellized Salt Refinery Plant '!$C$35</f>
        <v>57673808.937212005</v>
      </c>
      <c r="AL92" s="83">
        <f>AL89*'Levellized Salt Refinery Plant '!$C$35</f>
        <v>57673808.937212005</v>
      </c>
      <c r="AM92" s="83">
        <f>AM89*'Levellized Salt Refinery Plant '!$C$35</f>
        <v>57673808.937212005</v>
      </c>
      <c r="AN92" s="83">
        <f>AN89*'Levellized Salt Refinery Plant '!$C$35</f>
        <v>61278421.995787755</v>
      </c>
      <c r="AO92" s="83">
        <f>AO89*'Levellized Salt Refinery Plant '!$C$35</f>
        <v>61278421.995787755</v>
      </c>
      <c r="AP92" s="83">
        <f>AP89*'Levellized Salt Refinery Plant '!$C$35</f>
        <v>61278421.995787755</v>
      </c>
      <c r="AQ92" s="83">
        <f>AQ89*'Levellized Salt Refinery Plant '!$C$35</f>
        <v>61278421.995787755</v>
      </c>
      <c r="AR92" s="83">
        <f>AR89*'Levellized Salt Refinery Plant '!$C$35</f>
        <v>61278421.995787755</v>
      </c>
      <c r="AS92" s="83">
        <f>AS89*'Levellized Salt Refinery Plant '!$C$35</f>
        <v>61278421.995787755</v>
      </c>
      <c r="AT92" s="83">
        <f>AT89*'Levellized Salt Refinery Plant '!$C$35</f>
        <v>61278421.995787755</v>
      </c>
      <c r="AU92" s="83">
        <f>AU89*'Levellized Salt Refinery Plant '!$C$35</f>
        <v>64883035.054363504</v>
      </c>
      <c r="AV92" s="83">
        <f>AV89*'Levellized Salt Refinery Plant '!$C$35</f>
        <v>64883035.054363504</v>
      </c>
      <c r="AW92" s="83">
        <f>AW89*'Levellized Salt Refinery Plant '!$C$35</f>
        <v>64883035.054363504</v>
      </c>
      <c r="AX92" s="83">
        <f>AX89*'Levellized Salt Refinery Plant '!$C$35</f>
        <v>64883035.054363504</v>
      </c>
      <c r="AY92" s="83">
        <f>AY89*'Levellized Salt Refinery Plant '!$C$35</f>
        <v>64883035.054363504</v>
      </c>
      <c r="AZ92" s="83">
        <f>AZ89*'Levellized Salt Refinery Plant '!$C$35</f>
        <v>64883035.054363504</v>
      </c>
      <c r="BA92" s="83">
        <f>BA89*'Levellized Salt Refinery Plant '!$C$35</f>
        <v>68487648.112939253</v>
      </c>
      <c r="BB92" s="83">
        <f>BB89*'Levellized Salt Refinery Plant '!$C$35</f>
        <v>68487648.112939253</v>
      </c>
      <c r="BC92" s="83">
        <f>BC89*'Levellized Salt Refinery Plant '!$C$35</f>
        <v>68487648.112939253</v>
      </c>
      <c r="BD92" s="83">
        <f>BD89*'Levellized Salt Refinery Plant '!$C$35</f>
        <v>68487648.112939253</v>
      </c>
      <c r="BE92" s="83">
        <f>BE89*'Levellized Salt Refinery Plant '!$C$35</f>
        <v>68487648.112939253</v>
      </c>
      <c r="BF92" s="83">
        <f>BF89*'Levellized Salt Refinery Plant '!$C$35</f>
        <v>68487648.112939253</v>
      </c>
      <c r="BG92" s="83">
        <f>BG89*'Levellized Salt Refinery Plant '!$C$35</f>
        <v>68487648.112939253</v>
      </c>
      <c r="BH92" s="83">
        <f>BH89*'Levellized Salt Refinery Plant '!$C$35</f>
        <v>72092261.171515003</v>
      </c>
      <c r="BI92" s="83"/>
    </row>
    <row r="93" spans="1:61" s="82" customFormat="1" hidden="1" x14ac:dyDescent="0.2">
      <c r="A93" s="82" t="s">
        <v>731</v>
      </c>
      <c r="B93" s="156"/>
      <c r="C93" s="83">
        <f>C89*'Levellized Salt Refinery Plant '!$C$47</f>
        <v>0</v>
      </c>
      <c r="D93" s="83">
        <f>D89*'Levellized Salt Refinery Plant '!$C$47</f>
        <v>0</v>
      </c>
      <c r="E93" s="83">
        <f>E89*'Levellized Salt Refinery Plant '!$C$47</f>
        <v>0</v>
      </c>
      <c r="F93" s="83">
        <f>F89*'Levellized Salt Refinery Plant '!$C$47</f>
        <v>0</v>
      </c>
      <c r="G93" s="83">
        <f>G89*'Levellized Salt Refinery Plant '!$C$47</f>
        <v>0</v>
      </c>
      <c r="H93" s="83">
        <f>H89*'Levellized Salt Refinery Plant '!$C$47</f>
        <v>725428.85857575003</v>
      </c>
      <c r="I93" s="83">
        <f>I89*'Levellized Salt Refinery Plant '!$C$47</f>
        <v>1450857.7171515001</v>
      </c>
      <c r="J93" s="83">
        <f>J89*'Levellized Salt Refinery Plant '!$C$47</f>
        <v>2176286.57572725</v>
      </c>
      <c r="K93" s="83">
        <f>K89*'Levellized Salt Refinery Plant '!$C$47</f>
        <v>2901715.4343030001</v>
      </c>
      <c r="L93" s="83">
        <f>L89*'Levellized Salt Refinery Plant '!$C$47</f>
        <v>3627144.2928787502</v>
      </c>
      <c r="M93" s="83">
        <f>M89*'Levellized Salt Refinery Plant '!$C$47</f>
        <v>4352573.1514544999</v>
      </c>
      <c r="N93" s="83">
        <f>N89*'Levellized Salt Refinery Plant '!$C$47</f>
        <v>5078002.0100302501</v>
      </c>
      <c r="O93" s="83">
        <f>O89*'Levellized Salt Refinery Plant '!$C$47</f>
        <v>5803430.8686060002</v>
      </c>
      <c r="P93" s="83">
        <f>P89*'Levellized Salt Refinery Plant '!$C$47</f>
        <v>6528859.7271817503</v>
      </c>
      <c r="Q93" s="83">
        <f>Q89*'Levellized Salt Refinery Plant '!$C$47</f>
        <v>7254288.5857575005</v>
      </c>
      <c r="R93" s="83">
        <f>R89*'Levellized Salt Refinery Plant '!$C$47</f>
        <v>7979717.4443332506</v>
      </c>
      <c r="S93" s="83">
        <f>S89*'Levellized Salt Refinery Plant '!$C$47</f>
        <v>8705146.3029089998</v>
      </c>
      <c r="T93" s="83">
        <f>T89*'Levellized Salt Refinery Plant '!$C$47</f>
        <v>9430575.16148475</v>
      </c>
      <c r="U93" s="83">
        <f>U89*'Levellized Salt Refinery Plant '!$C$47</f>
        <v>10156004.0200605</v>
      </c>
      <c r="V93" s="83">
        <f>V89*'Levellized Salt Refinery Plant '!$C$47</f>
        <v>10156004.0200605</v>
      </c>
      <c r="W93" s="83">
        <f>W89*'Levellized Salt Refinery Plant '!$C$47</f>
        <v>10156004.0200605</v>
      </c>
      <c r="X93" s="83">
        <f>X89*'Levellized Salt Refinery Plant '!$C$47</f>
        <v>10156004.0200605</v>
      </c>
      <c r="Y93" s="83">
        <f>Y89*'Levellized Salt Refinery Plant '!$C$47</f>
        <v>10156004.0200605</v>
      </c>
      <c r="Z93" s="83">
        <f>Z89*'Levellized Salt Refinery Plant '!$C$47</f>
        <v>10156004.0200605</v>
      </c>
      <c r="AA93" s="83">
        <f>AA89*'Levellized Salt Refinery Plant '!$C$47</f>
        <v>10881432.87863625</v>
      </c>
      <c r="AB93" s="83">
        <f>AB89*'Levellized Salt Refinery Plant '!$C$47</f>
        <v>10881432.87863625</v>
      </c>
      <c r="AC93" s="83">
        <f>AC89*'Levellized Salt Refinery Plant '!$C$47</f>
        <v>10881432.87863625</v>
      </c>
      <c r="AD93" s="83">
        <f>AD89*'Levellized Salt Refinery Plant '!$C$47</f>
        <v>10881432.87863625</v>
      </c>
      <c r="AE93" s="83">
        <f>AE89*'Levellized Salt Refinery Plant '!$C$47</f>
        <v>10881432.87863625</v>
      </c>
      <c r="AF93" s="83">
        <f>AF89*'Levellized Salt Refinery Plant '!$C$47</f>
        <v>10881432.87863625</v>
      </c>
      <c r="AG93" s="83">
        <f>AG89*'Levellized Salt Refinery Plant '!$C$47</f>
        <v>10881432.87863625</v>
      </c>
      <c r="AH93" s="83">
        <f>AH89*'Levellized Salt Refinery Plant '!$C$47</f>
        <v>11606861.737212</v>
      </c>
      <c r="AI93" s="83">
        <f>AI89*'Levellized Salt Refinery Plant '!$C$47</f>
        <v>11606861.737212</v>
      </c>
      <c r="AJ93" s="83">
        <f>AJ89*'Levellized Salt Refinery Plant '!$C$47</f>
        <v>11606861.737212</v>
      </c>
      <c r="AK93" s="83">
        <f>AK89*'Levellized Salt Refinery Plant '!$C$47</f>
        <v>11606861.737212</v>
      </c>
      <c r="AL93" s="83">
        <f>AL89*'Levellized Salt Refinery Plant '!$C$47</f>
        <v>11606861.737212</v>
      </c>
      <c r="AM93" s="83">
        <f>AM89*'Levellized Salt Refinery Plant '!$C$47</f>
        <v>11606861.737212</v>
      </c>
      <c r="AN93" s="83">
        <f>AN89*'Levellized Salt Refinery Plant '!$C$47</f>
        <v>12332290.595787751</v>
      </c>
      <c r="AO93" s="83">
        <f>AO89*'Levellized Salt Refinery Plant '!$C$47</f>
        <v>12332290.595787751</v>
      </c>
      <c r="AP93" s="83">
        <f>AP89*'Levellized Salt Refinery Plant '!$C$47</f>
        <v>12332290.595787751</v>
      </c>
      <c r="AQ93" s="83">
        <f>AQ89*'Levellized Salt Refinery Plant '!$C$47</f>
        <v>12332290.595787751</v>
      </c>
      <c r="AR93" s="83">
        <f>AR89*'Levellized Salt Refinery Plant '!$C$47</f>
        <v>12332290.595787751</v>
      </c>
      <c r="AS93" s="83">
        <f>AS89*'Levellized Salt Refinery Plant '!$C$47</f>
        <v>12332290.595787751</v>
      </c>
      <c r="AT93" s="83">
        <f>AT89*'Levellized Salt Refinery Plant '!$C$47</f>
        <v>12332290.595787751</v>
      </c>
      <c r="AU93" s="83">
        <f>AU89*'Levellized Salt Refinery Plant '!$C$47</f>
        <v>13057719.454363501</v>
      </c>
      <c r="AV93" s="83">
        <f>AV89*'Levellized Salt Refinery Plant '!$C$47</f>
        <v>13057719.454363501</v>
      </c>
      <c r="AW93" s="83">
        <f>AW89*'Levellized Salt Refinery Plant '!$C$47</f>
        <v>13057719.454363501</v>
      </c>
      <c r="AX93" s="83">
        <f>AX89*'Levellized Salt Refinery Plant '!$C$47</f>
        <v>13057719.454363501</v>
      </c>
      <c r="AY93" s="83">
        <f>AY89*'Levellized Salt Refinery Plant '!$C$47</f>
        <v>13057719.454363501</v>
      </c>
      <c r="AZ93" s="83">
        <f>AZ89*'Levellized Salt Refinery Plant '!$C$47</f>
        <v>13057719.454363501</v>
      </c>
      <c r="BA93" s="83">
        <f>BA89*'Levellized Salt Refinery Plant '!$C$47</f>
        <v>13783148.312939251</v>
      </c>
      <c r="BB93" s="83">
        <f>BB89*'Levellized Salt Refinery Plant '!$C$47</f>
        <v>13783148.312939251</v>
      </c>
      <c r="BC93" s="83">
        <f>BC89*'Levellized Salt Refinery Plant '!$C$47</f>
        <v>13783148.312939251</v>
      </c>
      <c r="BD93" s="83">
        <f>BD89*'Levellized Salt Refinery Plant '!$C$47</f>
        <v>13783148.312939251</v>
      </c>
      <c r="BE93" s="83">
        <f>BE89*'Levellized Salt Refinery Plant '!$C$47</f>
        <v>13783148.312939251</v>
      </c>
      <c r="BF93" s="83">
        <f>BF89*'Levellized Salt Refinery Plant '!$C$47</f>
        <v>13783148.312939251</v>
      </c>
      <c r="BG93" s="83">
        <f>BG89*'Levellized Salt Refinery Plant '!$C$47</f>
        <v>13783148.312939251</v>
      </c>
      <c r="BH93" s="83">
        <f>BH89*'Levellized Salt Refinery Plant '!$C$47</f>
        <v>14508577.171515001</v>
      </c>
      <c r="BI93" s="83"/>
    </row>
    <row r="94" spans="1:61" hidden="1" x14ac:dyDescent="0.2">
      <c r="A94" t="s">
        <v>791</v>
      </c>
      <c r="B94" s="112">
        <v>3.33</v>
      </c>
      <c r="C94" s="103">
        <v>190</v>
      </c>
      <c r="D94" s="10">
        <f xml:space="preserve"> C94 + $B94</f>
        <v>193.33</v>
      </c>
      <c r="E94" s="10">
        <f t="shared" ref="E94:BH94" si="42" xml:space="preserve"> D94 + $B94</f>
        <v>196.66000000000003</v>
      </c>
      <c r="F94" s="10">
        <f t="shared" si="42"/>
        <v>199.99000000000004</v>
      </c>
      <c r="G94" s="10">
        <f t="shared" si="42"/>
        <v>203.32000000000005</v>
      </c>
      <c r="H94" s="10">
        <f t="shared" si="42"/>
        <v>206.65000000000006</v>
      </c>
      <c r="I94" s="10">
        <f t="shared" si="42"/>
        <v>209.98000000000008</v>
      </c>
      <c r="J94" s="10">
        <f t="shared" si="42"/>
        <v>213.31000000000009</v>
      </c>
      <c r="K94" s="10">
        <f t="shared" si="42"/>
        <v>216.6400000000001</v>
      </c>
      <c r="L94" s="10">
        <f t="shared" si="42"/>
        <v>219.97000000000011</v>
      </c>
      <c r="M94" s="10">
        <f t="shared" si="42"/>
        <v>223.30000000000013</v>
      </c>
      <c r="N94" s="10">
        <f t="shared" si="42"/>
        <v>226.63000000000014</v>
      </c>
      <c r="O94" s="10">
        <f t="shared" si="42"/>
        <v>229.96000000000015</v>
      </c>
      <c r="P94" s="10">
        <f t="shared" si="42"/>
        <v>233.29000000000016</v>
      </c>
      <c r="Q94" s="10">
        <f t="shared" si="42"/>
        <v>236.62000000000018</v>
      </c>
      <c r="R94" s="10">
        <f t="shared" si="42"/>
        <v>239.95000000000019</v>
      </c>
      <c r="S94" s="10">
        <f t="shared" si="42"/>
        <v>243.2800000000002</v>
      </c>
      <c r="T94" s="10">
        <f t="shared" si="42"/>
        <v>246.61000000000021</v>
      </c>
      <c r="U94" s="10">
        <f t="shared" si="42"/>
        <v>249.94000000000023</v>
      </c>
      <c r="V94" s="10">
        <f t="shared" si="42"/>
        <v>253.27000000000024</v>
      </c>
      <c r="W94" s="10">
        <f t="shared" si="42"/>
        <v>256.60000000000025</v>
      </c>
      <c r="X94" s="10">
        <f t="shared" si="42"/>
        <v>259.93000000000023</v>
      </c>
      <c r="Y94" s="10">
        <f t="shared" si="42"/>
        <v>263.26000000000022</v>
      </c>
      <c r="Z94" s="10">
        <f t="shared" si="42"/>
        <v>266.5900000000002</v>
      </c>
      <c r="AA94" s="10">
        <f t="shared" si="42"/>
        <v>269.92000000000019</v>
      </c>
      <c r="AB94" s="10">
        <f t="shared" si="42"/>
        <v>273.25000000000017</v>
      </c>
      <c r="AC94" s="10">
        <f t="shared" si="42"/>
        <v>276.58000000000015</v>
      </c>
      <c r="AD94" s="10">
        <f t="shared" si="42"/>
        <v>279.91000000000014</v>
      </c>
      <c r="AE94" s="10">
        <f t="shared" si="42"/>
        <v>283.24000000000012</v>
      </c>
      <c r="AF94" s="10">
        <f t="shared" si="42"/>
        <v>286.57000000000011</v>
      </c>
      <c r="AG94" s="10">
        <f t="shared" si="42"/>
        <v>289.90000000000009</v>
      </c>
      <c r="AH94" s="10">
        <f t="shared" si="42"/>
        <v>293.23000000000008</v>
      </c>
      <c r="AI94" s="10">
        <f t="shared" si="42"/>
        <v>296.56000000000006</v>
      </c>
      <c r="AJ94" s="10">
        <f t="shared" si="42"/>
        <v>299.89000000000004</v>
      </c>
      <c r="AK94" s="10">
        <f t="shared" si="42"/>
        <v>303.22000000000003</v>
      </c>
      <c r="AL94" s="10">
        <f t="shared" si="42"/>
        <v>306.55</v>
      </c>
      <c r="AM94" s="10">
        <f t="shared" si="42"/>
        <v>309.88</v>
      </c>
      <c r="AN94" s="10">
        <f t="shared" si="42"/>
        <v>313.20999999999998</v>
      </c>
      <c r="AO94" s="10">
        <f t="shared" si="42"/>
        <v>316.53999999999996</v>
      </c>
      <c r="AP94" s="10">
        <f t="shared" si="42"/>
        <v>319.86999999999995</v>
      </c>
      <c r="AQ94" s="10">
        <f t="shared" si="42"/>
        <v>323.19999999999993</v>
      </c>
      <c r="AR94" s="10">
        <f t="shared" si="42"/>
        <v>326.52999999999992</v>
      </c>
      <c r="AS94" s="10">
        <f t="shared" si="42"/>
        <v>329.8599999999999</v>
      </c>
      <c r="AT94" s="10">
        <f t="shared" si="42"/>
        <v>333.18999999999988</v>
      </c>
      <c r="AU94" s="10">
        <f t="shared" si="42"/>
        <v>336.51999999999987</v>
      </c>
      <c r="AV94" s="10">
        <f t="shared" si="42"/>
        <v>339.84999999999985</v>
      </c>
      <c r="AW94" s="10">
        <f t="shared" si="42"/>
        <v>343.17999999999984</v>
      </c>
      <c r="AX94" s="10">
        <f t="shared" si="42"/>
        <v>346.50999999999982</v>
      </c>
      <c r="AY94" s="10">
        <f t="shared" si="42"/>
        <v>349.8399999999998</v>
      </c>
      <c r="AZ94" s="10">
        <f t="shared" si="42"/>
        <v>353.16999999999979</v>
      </c>
      <c r="BA94" s="10">
        <f t="shared" si="42"/>
        <v>356.49999999999977</v>
      </c>
      <c r="BB94" s="10">
        <f t="shared" si="42"/>
        <v>359.82999999999976</v>
      </c>
      <c r="BC94" s="10">
        <f t="shared" si="42"/>
        <v>363.15999999999974</v>
      </c>
      <c r="BD94" s="10">
        <f t="shared" si="42"/>
        <v>366.48999999999972</v>
      </c>
      <c r="BE94" s="10">
        <f t="shared" si="42"/>
        <v>369.81999999999971</v>
      </c>
      <c r="BF94" s="10">
        <f t="shared" si="42"/>
        <v>373.14999999999969</v>
      </c>
      <c r="BG94" s="10">
        <f t="shared" si="42"/>
        <v>376.47999999999968</v>
      </c>
      <c r="BH94" s="10">
        <f t="shared" si="42"/>
        <v>379.80999999999966</v>
      </c>
      <c r="BI94" s="10"/>
    </row>
    <row r="95" spans="1:61" s="80" customFormat="1" hidden="1" x14ac:dyDescent="0.2">
      <c r="A95" s="80" t="s">
        <v>19</v>
      </c>
      <c r="B95" s="163"/>
      <c r="C95" s="81">
        <f t="shared" ref="C95:I95" si="43">C90*C94</f>
        <v>0</v>
      </c>
      <c r="D95" s="81">
        <f t="shared" si="43"/>
        <v>0</v>
      </c>
      <c r="E95" s="81">
        <f t="shared" si="43"/>
        <v>0</v>
      </c>
      <c r="F95" s="81">
        <f t="shared" si="43"/>
        <v>0</v>
      </c>
      <c r="G95" s="81">
        <f t="shared" si="43"/>
        <v>0</v>
      </c>
      <c r="H95" s="81">
        <f t="shared" si="43"/>
        <v>17913971.875000004</v>
      </c>
      <c r="I95" s="81">
        <f t="shared" si="43"/>
        <v>36405282.500000015</v>
      </c>
      <c r="J95" s="81">
        <f>J90*J94</f>
        <v>55473931.875000022</v>
      </c>
      <c r="K95" s="81">
        <f t="shared" ref="K95:BH95" si="44">K90*K94</f>
        <v>75119920.00000003</v>
      </c>
      <c r="L95" s="81">
        <f t="shared" si="44"/>
        <v>95343246.875000045</v>
      </c>
      <c r="M95" s="81">
        <f t="shared" si="44"/>
        <v>116143912.50000006</v>
      </c>
      <c r="N95" s="81">
        <f t="shared" si="44"/>
        <v>137521916.87500009</v>
      </c>
      <c r="O95" s="81">
        <f t="shared" si="44"/>
        <v>159477260.00000009</v>
      </c>
      <c r="P95" s="81">
        <f t="shared" si="44"/>
        <v>182009941.87500012</v>
      </c>
      <c r="Q95" s="81">
        <f t="shared" si="44"/>
        <v>205119962.50000015</v>
      </c>
      <c r="R95" s="81">
        <f t="shared" si="44"/>
        <v>228807321.87500018</v>
      </c>
      <c r="S95" s="81">
        <f t="shared" si="44"/>
        <v>253072020.00000021</v>
      </c>
      <c r="T95" s="81">
        <f t="shared" si="44"/>
        <v>277914056.87500024</v>
      </c>
      <c r="U95" s="81">
        <f t="shared" si="44"/>
        <v>303333432.5000003</v>
      </c>
      <c r="V95" s="81">
        <f t="shared" si="44"/>
        <v>307374803.7500003</v>
      </c>
      <c r="W95" s="81">
        <f t="shared" si="44"/>
        <v>311416175.0000003</v>
      </c>
      <c r="X95" s="81">
        <f t="shared" si="44"/>
        <v>315457546.2500003</v>
      </c>
      <c r="Y95" s="81">
        <f t="shared" si="44"/>
        <v>319498917.50000024</v>
      </c>
      <c r="Z95" s="81">
        <f t="shared" si="44"/>
        <v>323540288.75000024</v>
      </c>
      <c r="AA95" s="81">
        <f t="shared" si="44"/>
        <v>350980350.00000024</v>
      </c>
      <c r="AB95" s="81">
        <f t="shared" si="44"/>
        <v>355310390.62500024</v>
      </c>
      <c r="AC95" s="81">
        <f t="shared" si="44"/>
        <v>359640431.25000018</v>
      </c>
      <c r="AD95" s="81">
        <f t="shared" si="44"/>
        <v>363970471.87500018</v>
      </c>
      <c r="AE95" s="81">
        <f t="shared" si="44"/>
        <v>368300512.50000018</v>
      </c>
      <c r="AF95" s="81">
        <f t="shared" si="44"/>
        <v>372630553.12500012</v>
      </c>
      <c r="AG95" s="81">
        <f t="shared" si="44"/>
        <v>376960593.75000012</v>
      </c>
      <c r="AH95" s="81">
        <f t="shared" si="44"/>
        <v>406710010.00000012</v>
      </c>
      <c r="AI95" s="81">
        <f t="shared" si="44"/>
        <v>411328720.00000006</v>
      </c>
      <c r="AJ95" s="81">
        <f t="shared" si="44"/>
        <v>415947430.00000006</v>
      </c>
      <c r="AK95" s="81">
        <f t="shared" si="44"/>
        <v>420566140.00000006</v>
      </c>
      <c r="AL95" s="81">
        <f t="shared" si="44"/>
        <v>425184850</v>
      </c>
      <c r="AM95" s="81">
        <f t="shared" si="44"/>
        <v>429803560</v>
      </c>
      <c r="AN95" s="81">
        <f t="shared" si="44"/>
        <v>461573661.87499994</v>
      </c>
      <c r="AO95" s="81">
        <f t="shared" si="44"/>
        <v>466481041.24999994</v>
      </c>
      <c r="AP95" s="81">
        <f t="shared" si="44"/>
        <v>471388420.62499994</v>
      </c>
      <c r="AQ95" s="81">
        <f t="shared" si="44"/>
        <v>476295799.99999988</v>
      </c>
      <c r="AR95" s="81">
        <f t="shared" si="44"/>
        <v>481203179.37499988</v>
      </c>
      <c r="AS95" s="81">
        <f t="shared" si="44"/>
        <v>486110558.74999988</v>
      </c>
      <c r="AT95" s="81">
        <f t="shared" si="44"/>
        <v>491017938.12499982</v>
      </c>
      <c r="AU95" s="81">
        <f t="shared" si="44"/>
        <v>525097394.99999982</v>
      </c>
      <c r="AV95" s="81">
        <f t="shared" si="44"/>
        <v>530293443.74999976</v>
      </c>
      <c r="AW95" s="81">
        <f t="shared" si="44"/>
        <v>535489492.49999976</v>
      </c>
      <c r="AX95" s="81">
        <f t="shared" si="44"/>
        <v>540685541.24999976</v>
      </c>
      <c r="AY95" s="81">
        <f t="shared" si="44"/>
        <v>545881589.99999964</v>
      </c>
      <c r="AZ95" s="81">
        <f t="shared" si="44"/>
        <v>551077638.74999964</v>
      </c>
      <c r="BA95" s="81">
        <f t="shared" si="44"/>
        <v>587177781.24999964</v>
      </c>
      <c r="BB95" s="81">
        <f t="shared" si="44"/>
        <v>592662499.37499964</v>
      </c>
      <c r="BC95" s="81">
        <f t="shared" si="44"/>
        <v>598147217.49999952</v>
      </c>
      <c r="BD95" s="81">
        <f t="shared" si="44"/>
        <v>603631935.62499952</v>
      </c>
      <c r="BE95" s="81">
        <f t="shared" si="44"/>
        <v>609116653.74999952</v>
      </c>
      <c r="BF95" s="81">
        <f t="shared" si="44"/>
        <v>614601371.87499952</v>
      </c>
      <c r="BG95" s="81">
        <f t="shared" si="44"/>
        <v>620086089.99999952</v>
      </c>
      <c r="BH95" s="81">
        <f t="shared" si="44"/>
        <v>658495587.4999994</v>
      </c>
      <c r="BI95" s="81"/>
    </row>
    <row r="96" spans="1:61" hidden="1" x14ac:dyDescent="0.2">
      <c r="A96" s="104" t="s">
        <v>821</v>
      </c>
      <c r="B96" s="31"/>
      <c r="C96" s="5">
        <f xml:space="preserve"> 1000000 * (0.4913 * C1 - 932.89)</f>
        <v>59536000.00000006</v>
      </c>
      <c r="D96" s="5">
        <f xml:space="preserve"> 1000000 * (0.4913 * D1 - 932.89)</f>
        <v>60027300.000000082</v>
      </c>
      <c r="E96" s="5">
        <f t="shared" ref="E96:BH96" si="45" xml:space="preserve"> 1000000 * (0.4913 * E1 - 932.89)</f>
        <v>60518599.999999993</v>
      </c>
      <c r="F96" s="5">
        <f t="shared" si="45"/>
        <v>61009900.000000015</v>
      </c>
      <c r="G96" s="5">
        <f t="shared" si="45"/>
        <v>61501200.000000037</v>
      </c>
      <c r="H96" s="5">
        <f t="shared" si="45"/>
        <v>61992500.000000067</v>
      </c>
      <c r="I96" s="5">
        <f t="shared" si="45"/>
        <v>62483800.000000089</v>
      </c>
      <c r="J96" s="5">
        <f t="shared" si="45"/>
        <v>62975100</v>
      </c>
      <c r="K96" s="5">
        <f t="shared" si="45"/>
        <v>63466400.000000022</v>
      </c>
      <c r="L96" s="5">
        <f t="shared" si="45"/>
        <v>63957700.000000045</v>
      </c>
      <c r="M96" s="5">
        <f t="shared" si="45"/>
        <v>64449000.000000067</v>
      </c>
      <c r="N96" s="5">
        <f t="shared" si="45"/>
        <v>64940300.000000089</v>
      </c>
      <c r="O96" s="5">
        <f t="shared" si="45"/>
        <v>65431600</v>
      </c>
      <c r="P96" s="5">
        <f t="shared" si="45"/>
        <v>65922900.00000003</v>
      </c>
      <c r="Q96" s="5">
        <f t="shared" si="45"/>
        <v>66414200.000000052</v>
      </c>
      <c r="R96" s="5">
        <f t="shared" si="45"/>
        <v>66905500.000000075</v>
      </c>
      <c r="S96" s="5">
        <f t="shared" si="45"/>
        <v>67396800.000000104</v>
      </c>
      <c r="T96" s="5">
        <f t="shared" si="45"/>
        <v>67888100.000000015</v>
      </c>
      <c r="U96" s="5">
        <f t="shared" si="45"/>
        <v>68379400.00000003</v>
      </c>
      <c r="V96" s="5">
        <f t="shared" si="45"/>
        <v>68870700.00000006</v>
      </c>
      <c r="W96" s="5">
        <f t="shared" si="45"/>
        <v>69362000.000000075</v>
      </c>
      <c r="X96" s="5">
        <f t="shared" si="45"/>
        <v>69853299.999999985</v>
      </c>
      <c r="Y96" s="5">
        <f t="shared" si="45"/>
        <v>70344600.000000015</v>
      </c>
      <c r="Z96" s="5">
        <f t="shared" si="45"/>
        <v>70835900.000000045</v>
      </c>
      <c r="AA96" s="5">
        <f t="shared" si="45"/>
        <v>71327200.00000006</v>
      </c>
      <c r="AB96" s="5">
        <f t="shared" si="45"/>
        <v>71818500.000000089</v>
      </c>
      <c r="AC96" s="5">
        <f t="shared" si="45"/>
        <v>72309800</v>
      </c>
      <c r="AD96" s="5">
        <f t="shared" si="45"/>
        <v>72801100.000000015</v>
      </c>
      <c r="AE96" s="5">
        <f t="shared" si="45"/>
        <v>73292400.000000045</v>
      </c>
      <c r="AF96" s="5">
        <f t="shared" si="45"/>
        <v>73783700.000000075</v>
      </c>
      <c r="AG96" s="5">
        <f t="shared" si="45"/>
        <v>74275000.000000089</v>
      </c>
      <c r="AH96" s="5">
        <f t="shared" si="45"/>
        <v>74766300</v>
      </c>
      <c r="AI96" s="5">
        <f t="shared" si="45"/>
        <v>75257600.00000003</v>
      </c>
      <c r="AJ96" s="5">
        <f t="shared" si="45"/>
        <v>75748900.000000045</v>
      </c>
      <c r="AK96" s="5">
        <f t="shared" si="45"/>
        <v>76240200.000000075</v>
      </c>
      <c r="AL96" s="5">
        <f t="shared" si="45"/>
        <v>76731500.000000089</v>
      </c>
      <c r="AM96" s="5">
        <f t="shared" si="45"/>
        <v>77222800</v>
      </c>
      <c r="AN96" s="5">
        <f t="shared" si="45"/>
        <v>77714100.00000003</v>
      </c>
      <c r="AO96" s="5">
        <f t="shared" si="45"/>
        <v>78205400.00000006</v>
      </c>
      <c r="AP96" s="5">
        <f t="shared" si="45"/>
        <v>78696700.000000075</v>
      </c>
      <c r="AQ96" s="5">
        <f t="shared" si="45"/>
        <v>79187999.999999985</v>
      </c>
      <c r="AR96" s="5">
        <f t="shared" si="45"/>
        <v>79679300.000000015</v>
      </c>
      <c r="AS96" s="5">
        <f t="shared" si="45"/>
        <v>80170600.00000003</v>
      </c>
      <c r="AT96" s="5">
        <f t="shared" si="45"/>
        <v>80661900.00000006</v>
      </c>
      <c r="AU96" s="5">
        <f t="shared" si="45"/>
        <v>81153200.000000089</v>
      </c>
      <c r="AV96" s="5">
        <f t="shared" si="45"/>
        <v>81644500</v>
      </c>
      <c r="AW96" s="5">
        <f t="shared" si="45"/>
        <v>82135800.000000015</v>
      </c>
      <c r="AX96" s="5">
        <f t="shared" si="45"/>
        <v>82627100.000000045</v>
      </c>
      <c r="AY96" s="5">
        <f t="shared" si="45"/>
        <v>83118400.00000006</v>
      </c>
      <c r="AZ96" s="5">
        <f t="shared" si="45"/>
        <v>83609700.000000089</v>
      </c>
      <c r="BA96" s="5">
        <f t="shared" si="45"/>
        <v>84101000</v>
      </c>
      <c r="BB96" s="5">
        <f t="shared" si="45"/>
        <v>84592300.00000003</v>
      </c>
      <c r="BC96" s="5">
        <f t="shared" si="45"/>
        <v>85083600.000000045</v>
      </c>
      <c r="BD96" s="5">
        <f t="shared" si="45"/>
        <v>85574900.000000075</v>
      </c>
      <c r="BE96" s="5">
        <f t="shared" si="45"/>
        <v>86066200.000000089</v>
      </c>
      <c r="BF96" s="5">
        <f t="shared" si="45"/>
        <v>86557500</v>
      </c>
      <c r="BG96" s="5">
        <f t="shared" si="45"/>
        <v>87048800.00000003</v>
      </c>
      <c r="BH96" s="5">
        <f t="shared" si="45"/>
        <v>87540100.00000006</v>
      </c>
    </row>
    <row r="97" spans="1:61" hidden="1" x14ac:dyDescent="0.2">
      <c r="A97" t="s">
        <v>624</v>
      </c>
      <c r="B97" s="31"/>
      <c r="C97" s="5">
        <f t="shared" ref="C97:BH97" si="46" xml:space="preserve"> SUM(C28,C80)</f>
        <v>0</v>
      </c>
      <c r="D97" s="5">
        <f t="shared" si="46"/>
        <v>0</v>
      </c>
      <c r="E97" s="5">
        <f t="shared" si="46"/>
        <v>0</v>
      </c>
      <c r="F97" s="5">
        <f t="shared" si="46"/>
        <v>40666.067200454083</v>
      </c>
      <c r="G97" s="5">
        <f t="shared" si="46"/>
        <v>81332.134400908166</v>
      </c>
      <c r="H97" s="5">
        <f t="shared" si="46"/>
        <v>121998.20160136226</v>
      </c>
      <c r="I97" s="5">
        <f t="shared" si="46"/>
        <v>162664.26880181633</v>
      </c>
      <c r="J97" s="5">
        <f t="shared" si="46"/>
        <v>203330.33600227046</v>
      </c>
      <c r="K97" s="5">
        <f t="shared" si="46"/>
        <v>243996.40320272453</v>
      </c>
      <c r="L97" s="5">
        <f t="shared" si="46"/>
        <v>284662.4704031786</v>
      </c>
      <c r="M97" s="5">
        <f t="shared" si="46"/>
        <v>325328.53760363266</v>
      </c>
      <c r="N97" s="5">
        <f t="shared" si="46"/>
        <v>325328.53760363266</v>
      </c>
      <c r="O97" s="5">
        <f t="shared" si="46"/>
        <v>325328.53760363266</v>
      </c>
      <c r="P97" s="5">
        <f t="shared" si="46"/>
        <v>325328.53760363266</v>
      </c>
      <c r="Q97" s="5">
        <f t="shared" si="46"/>
        <v>325328.53760363266</v>
      </c>
      <c r="R97" s="5">
        <f t="shared" si="46"/>
        <v>325328.53760363266</v>
      </c>
      <c r="S97" s="5">
        <f t="shared" si="46"/>
        <v>353729.9426454663</v>
      </c>
      <c r="T97" s="5">
        <f t="shared" si="46"/>
        <v>388021.84698982479</v>
      </c>
      <c r="U97" s="5">
        <f t="shared" si="46"/>
        <v>442476.98539157643</v>
      </c>
      <c r="V97" s="5">
        <f t="shared" si="46"/>
        <v>583619.62379332806</v>
      </c>
      <c r="W97" s="5">
        <f t="shared" si="46"/>
        <v>724762.2621950797</v>
      </c>
      <c r="X97" s="5">
        <f t="shared" si="46"/>
        <v>865904.90059683134</v>
      </c>
      <c r="Y97" s="5">
        <f t="shared" si="46"/>
        <v>1007047.538998583</v>
      </c>
      <c r="Z97" s="5">
        <f t="shared" si="46"/>
        <v>1148190.1774003347</v>
      </c>
      <c r="AA97" s="5">
        <f t="shared" si="46"/>
        <v>1222808.5498594791</v>
      </c>
      <c r="AB97" s="5">
        <f t="shared" si="46"/>
        <v>1363951.1882612309</v>
      </c>
      <c r="AC97" s="5">
        <f t="shared" si="46"/>
        <v>1505093.8266629823</v>
      </c>
      <c r="AD97" s="5">
        <f t="shared" si="46"/>
        <v>1646236.4650647342</v>
      </c>
      <c r="AE97" s="5">
        <f t="shared" si="46"/>
        <v>1807542.337523879</v>
      </c>
      <c r="AF97" s="5">
        <f t="shared" si="46"/>
        <v>1948684.9759256304</v>
      </c>
      <c r="AG97" s="5">
        <f t="shared" si="46"/>
        <v>2109990.8483847752</v>
      </c>
      <c r="AH97" s="5">
        <f t="shared" si="46"/>
        <v>2144282.7527291337</v>
      </c>
      <c r="AI97" s="5">
        <f t="shared" si="46"/>
        <v>2285425.3911308851</v>
      </c>
      <c r="AJ97" s="5">
        <f t="shared" si="46"/>
        <v>2426568.029532637</v>
      </c>
      <c r="AK97" s="5">
        <f t="shared" si="46"/>
        <v>2547547.4338769955</v>
      </c>
      <c r="AL97" s="5">
        <f t="shared" si="46"/>
        <v>2688690.0722787469</v>
      </c>
      <c r="AM97" s="5">
        <f t="shared" si="46"/>
        <v>2829832.7106804987</v>
      </c>
      <c r="AN97" s="5">
        <f t="shared" si="46"/>
        <v>2884287.8490822501</v>
      </c>
      <c r="AO97" s="5">
        <f t="shared" si="46"/>
        <v>3025430.487484002</v>
      </c>
      <c r="AP97" s="5">
        <f t="shared" si="46"/>
        <v>3166573.1258857539</v>
      </c>
      <c r="AQ97" s="5">
        <f t="shared" si="46"/>
        <v>3307715.7642875053</v>
      </c>
      <c r="AR97" s="5">
        <f t="shared" si="46"/>
        <v>3448858.4026892567</v>
      </c>
      <c r="AS97" s="5">
        <f t="shared" si="46"/>
        <v>3590001.0410910081</v>
      </c>
      <c r="AT97" s="5">
        <f t="shared" si="46"/>
        <v>3731143.6794927604</v>
      </c>
      <c r="AU97" s="5">
        <f t="shared" si="46"/>
        <v>3785598.8178945119</v>
      </c>
      <c r="AV97" s="5">
        <f t="shared" si="46"/>
        <v>3946904.6903536562</v>
      </c>
      <c r="AW97" s="5">
        <f t="shared" si="46"/>
        <v>4088047.3287554076</v>
      </c>
      <c r="AX97" s="5">
        <f t="shared" si="46"/>
        <v>4229189.9671571599</v>
      </c>
      <c r="AY97" s="5">
        <f t="shared" si="46"/>
        <v>4390495.8396163043</v>
      </c>
      <c r="AZ97" s="5">
        <f t="shared" si="46"/>
        <v>4511475.2439606627</v>
      </c>
      <c r="BA97" s="5">
        <f t="shared" si="46"/>
        <v>4565930.3823624142</v>
      </c>
      <c r="BB97" s="5">
        <f t="shared" si="46"/>
        <v>4686909.7867067726</v>
      </c>
      <c r="BC97" s="5">
        <f t="shared" si="46"/>
        <v>4807889.1910511311</v>
      </c>
      <c r="BD97" s="5">
        <f t="shared" si="46"/>
        <v>4928868.5953954896</v>
      </c>
      <c r="BE97" s="5">
        <f t="shared" si="46"/>
        <v>5029684.7656824552</v>
      </c>
      <c r="BF97" s="5">
        <f t="shared" si="46"/>
        <v>5130500.9359694207</v>
      </c>
      <c r="BG97" s="5">
        <f t="shared" si="46"/>
        <v>5231317.1062563863</v>
      </c>
      <c r="BH97" s="5">
        <f t="shared" si="46"/>
        <v>5245445.7765433518</v>
      </c>
      <c r="BI97" s="5"/>
    </row>
    <row r="98" spans="1:61" hidden="1" x14ac:dyDescent="0.2">
      <c r="A98" t="s">
        <v>801</v>
      </c>
      <c r="B98" s="31"/>
      <c r="C98" s="31">
        <f xml:space="preserve"> C97/(0.09 * C96)</f>
        <v>0</v>
      </c>
      <c r="D98" s="31">
        <f xml:space="preserve"> D97/(0.09 * D96)</f>
        <v>0</v>
      </c>
      <c r="E98" s="31">
        <f t="shared" ref="E98:BH98" si="47" xml:space="preserve"> E97/(0.09 * E96)</f>
        <v>0</v>
      </c>
      <c r="F98" s="31">
        <f t="shared" si="47"/>
        <v>7.4060962420223015E-3</v>
      </c>
      <c r="G98" s="31">
        <f t="shared" si="47"/>
        <v>1.4693865847045464E-2</v>
      </c>
      <c r="H98" s="31">
        <f t="shared" si="47"/>
        <v>2.1866122084904918E-2</v>
      </c>
      <c r="I98" s="31">
        <f t="shared" si="47"/>
        <v>2.8925589744295696E-2</v>
      </c>
      <c r="J98" s="31">
        <f t="shared" si="47"/>
        <v>3.5874908584198881E-2</v>
      </c>
      <c r="K98" s="31">
        <f t="shared" si="47"/>
        <v>4.2716636625000602E-2</v>
      </c>
      <c r="L98" s="31">
        <f t="shared" si="47"/>
        <v>4.9453253287924576E-2</v>
      </c>
      <c r="M98" s="31">
        <f t="shared" si="47"/>
        <v>5.6087162390871054E-2</v>
      </c>
      <c r="N98" s="31">
        <f t="shared" si="47"/>
        <v>5.5662840007349015E-2</v>
      </c>
      <c r="O98" s="31">
        <f t="shared" si="47"/>
        <v>5.5244889761663356E-2</v>
      </c>
      <c r="P98" s="31">
        <f t="shared" si="47"/>
        <v>5.4833169185961934E-2</v>
      </c>
      <c r="Q98" s="31">
        <f t="shared" si="47"/>
        <v>5.4427540028024864E-2</v>
      </c>
      <c r="R98" s="31">
        <f t="shared" si="47"/>
        <v>5.4027868096483071E-2</v>
      </c>
      <c r="S98" s="31">
        <f t="shared" si="47"/>
        <v>5.8316310211474889E-2</v>
      </c>
      <c r="T98" s="31">
        <f t="shared" si="47"/>
        <v>6.3506768571259128E-2</v>
      </c>
      <c r="U98" s="31">
        <f t="shared" si="47"/>
        <v>7.1899006847022509E-2</v>
      </c>
      <c r="V98" s="31">
        <f t="shared" si="47"/>
        <v>9.4157057886627094E-2</v>
      </c>
      <c r="W98" s="31">
        <f t="shared" si="47"/>
        <v>0.11609979562858289</v>
      </c>
      <c r="X98" s="31">
        <f t="shared" si="47"/>
        <v>0.13773387316257096</v>
      </c>
      <c r="Y98" s="31">
        <f t="shared" si="47"/>
        <v>0.15906575771252168</v>
      </c>
      <c r="Z98" s="31">
        <f t="shared" si="47"/>
        <v>0.18010173708220675</v>
      </c>
      <c r="AA98" s="31">
        <f t="shared" si="47"/>
        <v>0.19048499962293924</v>
      </c>
      <c r="AB98" s="31">
        <f t="shared" si="47"/>
        <v>0.21101823628873548</v>
      </c>
      <c r="AC98" s="31">
        <f t="shared" si="47"/>
        <v>0.23127245187650641</v>
      </c>
      <c r="AD98" s="31">
        <f t="shared" si="47"/>
        <v>0.25125329532791463</v>
      </c>
      <c r="AE98" s="31">
        <f t="shared" si="47"/>
        <v>0.27402300579958239</v>
      </c>
      <c r="AF98" s="31">
        <f t="shared" si="47"/>
        <v>0.29345309720253304</v>
      </c>
      <c r="AG98" s="31">
        <f t="shared" si="47"/>
        <v>0.31564244711990319</v>
      </c>
      <c r="AH98" s="31">
        <f t="shared" si="47"/>
        <v>0.31866447743452059</v>
      </c>
      <c r="AI98" s="31">
        <f t="shared" si="47"/>
        <v>0.33742260525195894</v>
      </c>
      <c r="AJ98" s="31">
        <f t="shared" si="47"/>
        <v>0.35593740628322079</v>
      </c>
      <c r="AK98" s="31">
        <f t="shared" si="47"/>
        <v>0.37127503074012469</v>
      </c>
      <c r="AL98" s="31">
        <f t="shared" si="47"/>
        <v>0.3893359850443493</v>
      </c>
      <c r="AM98" s="31">
        <f t="shared" si="47"/>
        <v>0.40716712776832442</v>
      </c>
      <c r="AN98" s="31">
        <f t="shared" si="47"/>
        <v>0.41237874166438965</v>
      </c>
      <c r="AO98" s="31">
        <f t="shared" si="47"/>
        <v>0.42984108904727525</v>
      </c>
      <c r="AP98" s="31">
        <f t="shared" si="47"/>
        <v>0.44708540311315481</v>
      </c>
      <c r="AQ98" s="31">
        <f t="shared" si="47"/>
        <v>0.46411574204389922</v>
      </c>
      <c r="AR98" s="31">
        <f t="shared" si="47"/>
        <v>0.48093606393090194</v>
      </c>
      <c r="AS98" s="31">
        <f t="shared" si="47"/>
        <v>0.4975502298419463</v>
      </c>
      <c r="AT98" s="31">
        <f t="shared" si="47"/>
        <v>0.51396200677598691</v>
      </c>
      <c r="AU98" s="31">
        <f t="shared" si="47"/>
        <v>0.51830622930108428</v>
      </c>
      <c r="AV98" s="31">
        <f t="shared" si="47"/>
        <v>0.53713963046482094</v>
      </c>
      <c r="AW98" s="31">
        <f t="shared" si="47"/>
        <v>0.55302009717178502</v>
      </c>
      <c r="AX98" s="31">
        <f t="shared" si="47"/>
        <v>0.56871171365181072</v>
      </c>
      <c r="AY98" s="31">
        <f t="shared" si="47"/>
        <v>0.58691321183814649</v>
      </c>
      <c r="AZ98" s="31">
        <f t="shared" si="47"/>
        <v>0.59954171239310727</v>
      </c>
      <c r="BA98" s="31">
        <f t="shared" si="47"/>
        <v>0.60323372854100221</v>
      </c>
      <c r="BB98" s="31">
        <f t="shared" si="47"/>
        <v>0.61562075280909745</v>
      </c>
      <c r="BC98" s="31">
        <f t="shared" si="47"/>
        <v>0.62786472377378499</v>
      </c>
      <c r="BD98" s="31">
        <f t="shared" si="47"/>
        <v>0.6399681053148224</v>
      </c>
      <c r="BE98" s="31">
        <f t="shared" si="47"/>
        <v>0.64933023980796822</v>
      </c>
      <c r="BF98" s="31">
        <f t="shared" si="47"/>
        <v>0.65858609543038771</v>
      </c>
      <c r="BG98" s="31">
        <f t="shared" si="47"/>
        <v>0.66773747168336539</v>
      </c>
      <c r="BH98" s="31">
        <f t="shared" si="47"/>
        <v>0.66578323363214864</v>
      </c>
      <c r="BI98" s="31"/>
    </row>
    <row r="99" spans="1:61" hidden="1" x14ac:dyDescent="0.2">
      <c r="A99" t="s">
        <v>626</v>
      </c>
      <c r="B99" s="31"/>
      <c r="C99" s="5">
        <f t="shared" ref="C99:BH99" si="48" xml:space="preserve"> SUM(C38,C90)</f>
        <v>0</v>
      </c>
      <c r="D99" s="5">
        <f t="shared" si="48"/>
        <v>0</v>
      </c>
      <c r="E99" s="5">
        <f t="shared" si="48"/>
        <v>0</v>
      </c>
      <c r="F99" s="5">
        <f t="shared" si="48"/>
        <v>86687.5</v>
      </c>
      <c r="G99" s="5">
        <f t="shared" si="48"/>
        <v>173375</v>
      </c>
      <c r="H99" s="5">
        <f t="shared" si="48"/>
        <v>346750</v>
      </c>
      <c r="I99" s="5">
        <f t="shared" si="48"/>
        <v>520125</v>
      </c>
      <c r="J99" s="5">
        <f t="shared" si="48"/>
        <v>693500</v>
      </c>
      <c r="K99" s="5">
        <f t="shared" si="48"/>
        <v>866875</v>
      </c>
      <c r="L99" s="5">
        <f t="shared" si="48"/>
        <v>1040250</v>
      </c>
      <c r="M99" s="5">
        <f t="shared" si="48"/>
        <v>1213625</v>
      </c>
      <c r="N99" s="5">
        <f t="shared" si="48"/>
        <v>1300312.5</v>
      </c>
      <c r="O99" s="5">
        <f t="shared" si="48"/>
        <v>1387000</v>
      </c>
      <c r="P99" s="5">
        <f t="shared" si="48"/>
        <v>1473687.5</v>
      </c>
      <c r="Q99" s="5">
        <f t="shared" si="48"/>
        <v>1560375</v>
      </c>
      <c r="R99" s="5">
        <f t="shared" si="48"/>
        <v>1647062.5</v>
      </c>
      <c r="S99" s="5">
        <f t="shared" si="48"/>
        <v>1733750</v>
      </c>
      <c r="T99" s="5">
        <f t="shared" si="48"/>
        <v>1820437.5</v>
      </c>
      <c r="U99" s="5">
        <f t="shared" si="48"/>
        <v>1907125</v>
      </c>
      <c r="V99" s="5">
        <f t="shared" si="48"/>
        <v>1907125</v>
      </c>
      <c r="W99" s="5">
        <f t="shared" si="48"/>
        <v>1907125</v>
      </c>
      <c r="X99" s="5">
        <f t="shared" si="48"/>
        <v>1907125</v>
      </c>
      <c r="Y99" s="5">
        <f t="shared" si="48"/>
        <v>1907125</v>
      </c>
      <c r="Z99" s="5">
        <f t="shared" si="48"/>
        <v>1907125</v>
      </c>
      <c r="AA99" s="5">
        <f t="shared" si="48"/>
        <v>1993812.5</v>
      </c>
      <c r="AB99" s="5">
        <f t="shared" si="48"/>
        <v>1993812.5</v>
      </c>
      <c r="AC99" s="5">
        <f t="shared" si="48"/>
        <v>1993812.5</v>
      </c>
      <c r="AD99" s="5">
        <f t="shared" si="48"/>
        <v>1993812.5</v>
      </c>
      <c r="AE99" s="5">
        <f t="shared" si="48"/>
        <v>1993812.5</v>
      </c>
      <c r="AF99" s="5">
        <f t="shared" si="48"/>
        <v>1993812.5</v>
      </c>
      <c r="AG99" s="5">
        <f t="shared" si="48"/>
        <v>1993812.5</v>
      </c>
      <c r="AH99" s="5">
        <f t="shared" si="48"/>
        <v>2080500</v>
      </c>
      <c r="AI99" s="5">
        <f t="shared" si="48"/>
        <v>2080500</v>
      </c>
      <c r="AJ99" s="5">
        <f t="shared" si="48"/>
        <v>2080500</v>
      </c>
      <c r="AK99" s="5">
        <f t="shared" si="48"/>
        <v>2080500</v>
      </c>
      <c r="AL99" s="5">
        <f t="shared" si="48"/>
        <v>2080500</v>
      </c>
      <c r="AM99" s="5">
        <f t="shared" si="48"/>
        <v>2080500</v>
      </c>
      <c r="AN99" s="5">
        <f t="shared" si="48"/>
        <v>2167187.5</v>
      </c>
      <c r="AO99" s="5">
        <f t="shared" si="48"/>
        <v>2167187.5</v>
      </c>
      <c r="AP99" s="5">
        <f t="shared" si="48"/>
        <v>2167187.5</v>
      </c>
      <c r="AQ99" s="5">
        <f t="shared" si="48"/>
        <v>2167187.5</v>
      </c>
      <c r="AR99" s="5">
        <f t="shared" si="48"/>
        <v>2167187.5</v>
      </c>
      <c r="AS99" s="5">
        <f t="shared" si="48"/>
        <v>2167187.5</v>
      </c>
      <c r="AT99" s="5">
        <f t="shared" si="48"/>
        <v>2167187.5</v>
      </c>
      <c r="AU99" s="5">
        <f t="shared" si="48"/>
        <v>2253875</v>
      </c>
      <c r="AV99" s="5">
        <f t="shared" si="48"/>
        <v>2253875</v>
      </c>
      <c r="AW99" s="5">
        <f t="shared" si="48"/>
        <v>2253875</v>
      </c>
      <c r="AX99" s="5">
        <f t="shared" si="48"/>
        <v>2253875</v>
      </c>
      <c r="AY99" s="5">
        <f t="shared" si="48"/>
        <v>2253875</v>
      </c>
      <c r="AZ99" s="5">
        <f t="shared" si="48"/>
        <v>2253875</v>
      </c>
      <c r="BA99" s="5">
        <f t="shared" si="48"/>
        <v>2340562.5</v>
      </c>
      <c r="BB99" s="5">
        <f t="shared" si="48"/>
        <v>2340562.5</v>
      </c>
      <c r="BC99" s="5">
        <f t="shared" si="48"/>
        <v>2340562.5</v>
      </c>
      <c r="BD99" s="5">
        <f t="shared" si="48"/>
        <v>2340562.5</v>
      </c>
      <c r="BE99" s="5">
        <f t="shared" si="48"/>
        <v>2340562.5</v>
      </c>
      <c r="BF99" s="5">
        <f t="shared" si="48"/>
        <v>2340562.5</v>
      </c>
      <c r="BG99" s="5">
        <f t="shared" si="48"/>
        <v>2340562.5</v>
      </c>
      <c r="BH99" s="5">
        <f t="shared" si="48"/>
        <v>2427250</v>
      </c>
      <c r="BI99" s="5"/>
    </row>
    <row r="100" spans="1:61" hidden="1" x14ac:dyDescent="0.2">
      <c r="A100" t="s">
        <v>802</v>
      </c>
      <c r="B100" s="31"/>
      <c r="C100" s="31">
        <f xml:space="preserve"> C99/(0.09 * C96)</f>
        <v>0</v>
      </c>
      <c r="D100" s="31">
        <f xml:space="preserve"> D99/(0.09 * D96)</f>
        <v>0</v>
      </c>
      <c r="E100" s="31">
        <f t="shared" ref="E100:BH100" si="49" xml:space="preserve"> E99/(0.09 * E96)</f>
        <v>0</v>
      </c>
      <c r="F100" s="31">
        <f t="shared" si="49"/>
        <v>1.578751062441414E-2</v>
      </c>
      <c r="G100" s="31">
        <f t="shared" si="49"/>
        <v>3.1322785390998677E-2</v>
      </c>
      <c r="H100" s="31">
        <f t="shared" si="49"/>
        <v>6.2149095096629012E-2</v>
      </c>
      <c r="I100" s="31">
        <f t="shared" si="49"/>
        <v>9.2490640240616914E-2</v>
      </c>
      <c r="J100" s="31">
        <f t="shared" si="49"/>
        <v>0.12235876648954198</v>
      </c>
      <c r="K100" s="31">
        <f t="shared" si="49"/>
        <v>0.15176446819804559</v>
      </c>
      <c r="L100" s="31">
        <f t="shared" si="49"/>
        <v>0.18071840190209038</v>
      </c>
      <c r="M100" s="31">
        <f t="shared" si="49"/>
        <v>0.20923089919505669</v>
      </c>
      <c r="N100" s="31">
        <f t="shared" si="49"/>
        <v>0.22247998033065214</v>
      </c>
      <c r="O100" s="31">
        <f t="shared" si="49"/>
        <v>0.23553009724828847</v>
      </c>
      <c r="P100" s="31">
        <f t="shared" si="49"/>
        <v>0.24838569837727933</v>
      </c>
      <c r="Q100" s="31">
        <f t="shared" si="49"/>
        <v>0.26105110051766017</v>
      </c>
      <c r="R100" s="31">
        <f t="shared" si="49"/>
        <v>0.27353049367308258</v>
      </c>
      <c r="S100" s="31">
        <f t="shared" si="49"/>
        <v>0.28582794567232955</v>
      </c>
      <c r="T100" s="31">
        <f t="shared" si="49"/>
        <v>0.29794740659015839</v>
      </c>
      <c r="U100" s="31">
        <f t="shared" si="49"/>
        <v>0.30989271297756005</v>
      </c>
      <c r="V100" s="31">
        <f t="shared" si="49"/>
        <v>0.3076820444365711</v>
      </c>
      <c r="W100" s="31">
        <f t="shared" si="49"/>
        <v>0.30550269279688813</v>
      </c>
      <c r="X100" s="31">
        <f t="shared" si="49"/>
        <v>0.30335399727396967</v>
      </c>
      <c r="Y100" s="31">
        <f t="shared" si="49"/>
        <v>0.30123531554345001</v>
      </c>
      <c r="Z100" s="31">
        <f t="shared" si="49"/>
        <v>0.29914602310096666</v>
      </c>
      <c r="AA100" s="31">
        <f t="shared" si="49"/>
        <v>0.31058939958700471</v>
      </c>
      <c r="AB100" s="31">
        <f t="shared" si="49"/>
        <v>0.30846470230124823</v>
      </c>
      <c r="AC100" s="31">
        <f t="shared" si="49"/>
        <v>0.30636887700176496</v>
      </c>
      <c r="AD100" s="31">
        <f t="shared" si="49"/>
        <v>0.3043013391586421</v>
      </c>
      <c r="AE100" s="31">
        <f t="shared" si="49"/>
        <v>0.30226151991505545</v>
      </c>
      <c r="AF100" s="31">
        <f t="shared" si="49"/>
        <v>0.3002488655654596</v>
      </c>
      <c r="AG100" s="31">
        <f t="shared" si="49"/>
        <v>0.29826283705448936</v>
      </c>
      <c r="AH100" s="31">
        <f t="shared" si="49"/>
        <v>0.30918564469107962</v>
      </c>
      <c r="AI100" s="31">
        <f t="shared" si="49"/>
        <v>0.30716720526121821</v>
      </c>
      <c r="AJ100" s="31">
        <f t="shared" si="49"/>
        <v>0.30517494863511752</v>
      </c>
      <c r="AK100" s="31">
        <f t="shared" si="49"/>
        <v>0.30320836863841705</v>
      </c>
      <c r="AL100" s="31">
        <f t="shared" si="49"/>
        <v>0.30126697206058323</v>
      </c>
      <c r="AM100" s="31">
        <f t="shared" si="49"/>
        <v>0.29935027824252253</v>
      </c>
      <c r="AN100" s="31">
        <f t="shared" si="49"/>
        <v>0.30985189445816269</v>
      </c>
      <c r="AO100" s="31">
        <f t="shared" si="49"/>
        <v>0.30790535066774283</v>
      </c>
      <c r="AP100" s="31">
        <f t="shared" si="49"/>
        <v>0.30598311125004085</v>
      </c>
      <c r="AQ100" s="31">
        <f t="shared" si="49"/>
        <v>0.30408472383582258</v>
      </c>
      <c r="AR100" s="31">
        <f t="shared" si="49"/>
        <v>0.30220974721302907</v>
      </c>
      <c r="AS100" s="31">
        <f t="shared" si="49"/>
        <v>0.30035775098491346</v>
      </c>
      <c r="AT100" s="31">
        <f t="shared" si="49"/>
        <v>0.29852831524066625</v>
      </c>
      <c r="AU100" s="31">
        <f t="shared" si="49"/>
        <v>0.30858987144752803</v>
      </c>
      <c r="AV100" s="31">
        <f t="shared" si="49"/>
        <v>0.30673291594112961</v>
      </c>
      <c r="AW100" s="31">
        <f t="shared" si="49"/>
        <v>0.30489817540652858</v>
      </c>
      <c r="AX100" s="31">
        <f t="shared" si="49"/>
        <v>0.30308525357365251</v>
      </c>
      <c r="AY100" s="31">
        <f t="shared" si="49"/>
        <v>0.30129376354159293</v>
      </c>
      <c r="AZ100" s="31">
        <f t="shared" si="49"/>
        <v>0.29952332750333432</v>
      </c>
      <c r="BA100" s="31">
        <f t="shared" si="49"/>
        <v>0.30922640634475212</v>
      </c>
      <c r="BB100" s="31">
        <f t="shared" si="49"/>
        <v>0.30743046352918635</v>
      </c>
      <c r="BC100" s="31">
        <f t="shared" si="49"/>
        <v>0.30565526141348026</v>
      </c>
      <c r="BD100" s="31">
        <f t="shared" si="49"/>
        <v>0.3039004427700176</v>
      </c>
      <c r="BE100" s="31">
        <f t="shared" si="49"/>
        <v>0.30216565852797006</v>
      </c>
      <c r="BF100" s="31">
        <f t="shared" si="49"/>
        <v>0.30045056754180749</v>
      </c>
      <c r="BG100" s="31">
        <f t="shared" si="49"/>
        <v>0.29875483636764655</v>
      </c>
      <c r="BH100" s="31">
        <f t="shared" si="49"/>
        <v>0.30808103308591639</v>
      </c>
      <c r="BI100" s="31"/>
    </row>
    <row r="101" spans="1:61" x14ac:dyDescent="0.2">
      <c r="A101" t="s">
        <v>644</v>
      </c>
      <c r="B101" s="31"/>
      <c r="C101" s="5">
        <f xml:space="preserve"> C97 + C99</f>
        <v>0</v>
      </c>
      <c r="D101" s="5">
        <f t="shared" ref="D101:BH101" si="50" xml:space="preserve"> D97 + D99</f>
        <v>0</v>
      </c>
      <c r="E101" s="5">
        <f t="shared" si="50"/>
        <v>0</v>
      </c>
      <c r="F101" s="5">
        <f xml:space="preserve"> F97 + F99</f>
        <v>127353.56720045408</v>
      </c>
      <c r="G101" s="5">
        <f t="shared" si="50"/>
        <v>254707.13440090817</v>
      </c>
      <c r="H101" s="5">
        <f t="shared" si="50"/>
        <v>468748.20160136226</v>
      </c>
      <c r="I101" s="5">
        <f t="shared" si="50"/>
        <v>682789.26880181627</v>
      </c>
      <c r="J101" s="5">
        <f t="shared" si="50"/>
        <v>896830.33600227046</v>
      </c>
      <c r="K101" s="5">
        <f t="shared" si="50"/>
        <v>1110871.4032027246</v>
      </c>
      <c r="L101" s="5">
        <f t="shared" si="50"/>
        <v>1324912.4704031786</v>
      </c>
      <c r="M101" s="5">
        <f t="shared" si="50"/>
        <v>1538953.5376036325</v>
      </c>
      <c r="N101" s="5">
        <f t="shared" si="50"/>
        <v>1625641.0376036325</v>
      </c>
      <c r="O101" s="5">
        <f t="shared" si="50"/>
        <v>1712328.5376036325</v>
      </c>
      <c r="P101" s="5">
        <f t="shared" si="50"/>
        <v>1799016.0376036325</v>
      </c>
      <c r="Q101" s="5">
        <f t="shared" si="50"/>
        <v>1885703.5376036325</v>
      </c>
      <c r="R101" s="5">
        <f t="shared" si="50"/>
        <v>1972391.0376036325</v>
      </c>
      <c r="S101" s="5">
        <f t="shared" si="50"/>
        <v>2087479.9426454664</v>
      </c>
      <c r="T101" s="5">
        <f t="shared" si="50"/>
        <v>2208459.3469898249</v>
      </c>
      <c r="U101" s="5">
        <f t="shared" si="50"/>
        <v>2349601.9853915763</v>
      </c>
      <c r="V101" s="5">
        <f t="shared" si="50"/>
        <v>2490744.6237933282</v>
      </c>
      <c r="W101" s="5">
        <f t="shared" si="50"/>
        <v>2631887.2621950796</v>
      </c>
      <c r="X101" s="5">
        <f t="shared" si="50"/>
        <v>2773029.9005968315</v>
      </c>
      <c r="Y101" s="5">
        <f t="shared" si="50"/>
        <v>2914172.5389985829</v>
      </c>
      <c r="Z101" s="5">
        <f t="shared" si="50"/>
        <v>3055315.1774003347</v>
      </c>
      <c r="AA101" s="5">
        <f t="shared" si="50"/>
        <v>3216621.0498594791</v>
      </c>
      <c r="AB101" s="5">
        <f t="shared" si="50"/>
        <v>3357763.6882612309</v>
      </c>
      <c r="AC101" s="5">
        <f t="shared" si="50"/>
        <v>3498906.3266629823</v>
      </c>
      <c r="AD101" s="5">
        <f t="shared" si="50"/>
        <v>3640048.9650647342</v>
      </c>
      <c r="AE101" s="5">
        <f t="shared" si="50"/>
        <v>3801354.837523879</v>
      </c>
      <c r="AF101" s="5">
        <f t="shared" si="50"/>
        <v>3942497.4759256304</v>
      </c>
      <c r="AG101" s="5">
        <f t="shared" si="50"/>
        <v>4103803.3483847752</v>
      </c>
      <c r="AH101" s="5">
        <f t="shared" si="50"/>
        <v>4224782.7527291337</v>
      </c>
      <c r="AI101" s="5">
        <f t="shared" si="50"/>
        <v>4365925.3911308851</v>
      </c>
      <c r="AJ101" s="5">
        <f t="shared" si="50"/>
        <v>4507068.0295326374</v>
      </c>
      <c r="AK101" s="5">
        <f t="shared" si="50"/>
        <v>4628047.433876995</v>
      </c>
      <c r="AL101" s="5">
        <f t="shared" si="50"/>
        <v>4769190.0722787473</v>
      </c>
      <c r="AM101" s="5">
        <f t="shared" si="50"/>
        <v>4910332.7106804987</v>
      </c>
      <c r="AN101" s="5">
        <f t="shared" si="50"/>
        <v>5051475.3490822501</v>
      </c>
      <c r="AO101" s="5">
        <f t="shared" si="50"/>
        <v>5192617.9874840025</v>
      </c>
      <c r="AP101" s="5">
        <f t="shared" si="50"/>
        <v>5333760.6258857539</v>
      </c>
      <c r="AQ101" s="5">
        <f t="shared" si="50"/>
        <v>5474903.2642875053</v>
      </c>
      <c r="AR101" s="5">
        <f t="shared" si="50"/>
        <v>5616045.9026892567</v>
      </c>
      <c r="AS101" s="5">
        <f t="shared" si="50"/>
        <v>5757188.5410910081</v>
      </c>
      <c r="AT101" s="5">
        <f t="shared" si="50"/>
        <v>5898331.1794927604</v>
      </c>
      <c r="AU101" s="5">
        <f t="shared" si="50"/>
        <v>6039473.8178945119</v>
      </c>
      <c r="AV101" s="5">
        <f t="shared" si="50"/>
        <v>6200779.6903536562</v>
      </c>
      <c r="AW101" s="5">
        <f t="shared" si="50"/>
        <v>6341922.3287554076</v>
      </c>
      <c r="AX101" s="5">
        <f t="shared" si="50"/>
        <v>6483064.9671571599</v>
      </c>
      <c r="AY101" s="5">
        <f t="shared" si="50"/>
        <v>6644370.8396163043</v>
      </c>
      <c r="AZ101" s="5">
        <f t="shared" si="50"/>
        <v>6765350.2439606627</v>
      </c>
      <c r="BA101" s="5">
        <f t="shared" si="50"/>
        <v>6906492.8823624142</v>
      </c>
      <c r="BB101" s="5">
        <f t="shared" si="50"/>
        <v>7027472.2867067726</v>
      </c>
      <c r="BC101" s="5">
        <f t="shared" si="50"/>
        <v>7148451.6910511311</v>
      </c>
      <c r="BD101" s="5">
        <f t="shared" si="50"/>
        <v>7269431.0953954896</v>
      </c>
      <c r="BE101" s="5">
        <f t="shared" si="50"/>
        <v>7370247.2656824552</v>
      </c>
      <c r="BF101" s="5">
        <f t="shared" si="50"/>
        <v>7471063.4359694207</v>
      </c>
      <c r="BG101" s="5">
        <f t="shared" si="50"/>
        <v>7571879.6062563863</v>
      </c>
      <c r="BH101" s="5">
        <f t="shared" si="50"/>
        <v>7672695.7765433518</v>
      </c>
      <c r="BI101" s="5"/>
    </row>
    <row r="102" spans="1:61" s="151" customFormat="1" hidden="1" x14ac:dyDescent="0.2">
      <c r="A102" s="151" t="s">
        <v>735</v>
      </c>
      <c r="B102" s="169"/>
      <c r="C102" s="170">
        <f xml:space="preserve"> C101 + C105</f>
        <v>0</v>
      </c>
      <c r="D102" s="170">
        <f t="shared" ref="D102:BH102" si="51" xml:space="preserve"> D101 + D105</f>
        <v>0</v>
      </c>
      <c r="E102" s="170">
        <f t="shared" si="51"/>
        <v>0</v>
      </c>
      <c r="F102" s="170">
        <f xml:space="preserve"> F101 + F105</f>
        <v>1658330.1708016384</v>
      </c>
      <c r="G102" s="170">
        <f t="shared" si="51"/>
        <v>3316660.3416032768</v>
      </c>
      <c r="H102" s="170">
        <f t="shared" si="51"/>
        <v>6113931.0509849535</v>
      </c>
      <c r="I102" s="170">
        <f t="shared" si="51"/>
        <v>8252504.5462440085</v>
      </c>
      <c r="J102" s="170">
        <f t="shared" si="51"/>
        <v>10391078.041503064</v>
      </c>
      <c r="K102" s="170">
        <f t="shared" si="51"/>
        <v>12555334.423720568</v>
      </c>
      <c r="L102" s="170">
        <f t="shared" si="51"/>
        <v>18711808.06224427</v>
      </c>
      <c r="M102" s="170">
        <f t="shared" si="51"/>
        <v>21497746.969279539</v>
      </c>
      <c r="N102" s="170">
        <f t="shared" si="51"/>
        <v>24019798.794633746</v>
      </c>
      <c r="O102" s="170">
        <f t="shared" si="51"/>
        <v>20838683.11097908</v>
      </c>
      <c r="P102" s="170">
        <f t="shared" si="51"/>
        <v>22790418.185432401</v>
      </c>
      <c r="Q102" s="170">
        <f t="shared" si="51"/>
        <v>24742153.259885721</v>
      </c>
      <c r="R102" s="170">
        <f t="shared" si="51"/>
        <v>22271100.564270567</v>
      </c>
      <c r="S102" s="170">
        <f t="shared" si="51"/>
        <v>23909046.993225187</v>
      </c>
      <c r="T102" s="170">
        <f t="shared" si="51"/>
        <v>25552883.921482328</v>
      </c>
      <c r="U102" s="170">
        <f t="shared" si="51"/>
        <v>25873806.768593181</v>
      </c>
      <c r="V102" s="170">
        <f t="shared" si="51"/>
        <v>26194729.615704037</v>
      </c>
      <c r="W102" s="170">
        <f t="shared" si="51"/>
        <v>26515652.46281489</v>
      </c>
      <c r="X102" s="170">
        <f t="shared" si="51"/>
        <v>26836575.309925739</v>
      </c>
      <c r="Y102" s="170">
        <f t="shared" si="51"/>
        <v>27157498.157036591</v>
      </c>
      <c r="Z102" s="170">
        <f t="shared" si="51"/>
        <v>27478421.004147448</v>
      </c>
      <c r="AA102" s="170">
        <f t="shared" si="51"/>
        <v>27845189.972274136</v>
      </c>
      <c r="AB102" s="170">
        <f t="shared" si="51"/>
        <v>28166112.819384988</v>
      </c>
      <c r="AC102" s="170">
        <f t="shared" si="51"/>
        <v>28487035.666495845</v>
      </c>
      <c r="AD102" s="170">
        <f t="shared" si="51"/>
        <v>28807958.513606697</v>
      </c>
      <c r="AE102" s="170">
        <f t="shared" si="51"/>
        <v>29174727.481733385</v>
      </c>
      <c r="AF102" s="170">
        <f t="shared" si="51"/>
        <v>29495650.328844242</v>
      </c>
      <c r="AG102" s="170">
        <f t="shared" si="51"/>
        <v>26440518.791565612</v>
      </c>
      <c r="AH102" s="170">
        <f t="shared" si="51"/>
        <v>26715595.517660625</v>
      </c>
      <c r="AI102" s="170">
        <f t="shared" si="51"/>
        <v>27036518.364771478</v>
      </c>
      <c r="AJ102" s="170">
        <f t="shared" si="51"/>
        <v>27357441.211882334</v>
      </c>
      <c r="AK102" s="170">
        <f t="shared" si="51"/>
        <v>27632517.937977351</v>
      </c>
      <c r="AL102" s="170">
        <f t="shared" si="51"/>
        <v>27953440.785088204</v>
      </c>
      <c r="AM102" s="170">
        <f t="shared" si="51"/>
        <v>28274363.632199056</v>
      </c>
      <c r="AN102" s="170">
        <f t="shared" si="51"/>
        <v>28595286.479309909</v>
      </c>
      <c r="AO102" s="170">
        <f t="shared" si="51"/>
        <v>28916209.326420762</v>
      </c>
      <c r="AP102" s="170">
        <f t="shared" si="51"/>
        <v>29237132.173531618</v>
      </c>
      <c r="AQ102" s="170">
        <f t="shared" si="51"/>
        <v>29558055.020642471</v>
      </c>
      <c r="AR102" s="170">
        <f t="shared" si="51"/>
        <v>29878977.867753319</v>
      </c>
      <c r="AS102" s="170">
        <f t="shared" si="51"/>
        <v>30199900.714864179</v>
      </c>
      <c r="AT102" s="170">
        <f t="shared" si="51"/>
        <v>30520823.561975028</v>
      </c>
      <c r="AU102" s="170">
        <f t="shared" si="51"/>
        <v>30841746.409085881</v>
      </c>
      <c r="AV102" s="170">
        <f t="shared" si="51"/>
        <v>31208515.377212569</v>
      </c>
      <c r="AW102" s="170">
        <f t="shared" si="51"/>
        <v>31529438.224323425</v>
      </c>
      <c r="AX102" s="170">
        <f t="shared" si="51"/>
        <v>30709727.569632508</v>
      </c>
      <c r="AY102" s="170">
        <f t="shared" si="51"/>
        <v>29935863.035957426</v>
      </c>
      <c r="AZ102" s="170">
        <f t="shared" si="51"/>
        <v>29070306.260250669</v>
      </c>
      <c r="BA102" s="170">
        <f t="shared" si="51"/>
        <v>28250595.605559748</v>
      </c>
      <c r="BB102" s="170">
        <f t="shared" si="51"/>
        <v>27385038.829852991</v>
      </c>
      <c r="BC102" s="170">
        <f t="shared" si="51"/>
        <v>26519482.054146238</v>
      </c>
      <c r="BD102" s="170">
        <f t="shared" si="51"/>
        <v>25653925.278439485</v>
      </c>
      <c r="BE102" s="170">
        <f t="shared" si="51"/>
        <v>24742522.381716892</v>
      </c>
      <c r="BF102" s="170">
        <f t="shared" si="51"/>
        <v>23831119.4849943</v>
      </c>
      <c r="BG102" s="170">
        <f t="shared" si="51"/>
        <v>22919716.588271707</v>
      </c>
      <c r="BH102" s="170">
        <f t="shared" si="51"/>
        <v>22008313.691549115</v>
      </c>
      <c r="BI102" s="170"/>
    </row>
    <row r="103" spans="1:61" s="104" customFormat="1" x14ac:dyDescent="0.2">
      <c r="B103" s="160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</row>
    <row r="104" spans="1:61" s="104" customFormat="1" x14ac:dyDescent="0.2">
      <c r="A104" s="1" t="s">
        <v>811</v>
      </c>
      <c r="B104" s="160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</row>
    <row r="105" spans="1:61" hidden="1" x14ac:dyDescent="0.2">
      <c r="A105" t="s">
        <v>625</v>
      </c>
      <c r="B105" s="31"/>
      <c r="C105" s="5">
        <f xml:space="preserve"> C54 + (C22 * 'Levellized Salt Sep Plant'!$C$44) + (C74 * 'Levellized Salt Sep Plant'!$I$44)</f>
        <v>0</v>
      </c>
      <c r="D105" s="5">
        <f xml:space="preserve"> D54 + (D22 * 'Levellized Salt Sep Plant'!$C$44) + (D74 * 'Levellized Salt Sep Plant'!$I$44)</f>
        <v>0</v>
      </c>
      <c r="E105" s="5">
        <f xml:space="preserve"> E54 + (E22 * 'Levellized Salt Sep Plant'!$C$44) + (E74 * 'Levellized Salt Sep Plant'!$I$44)</f>
        <v>0</v>
      </c>
      <c r="F105" s="5">
        <f xml:space="preserve"> F54 + (F22 * 'Levellized Salt Sep Plant'!$C$44) + (F74 * 'Levellized Salt Sep Plant'!$I$44)</f>
        <v>1530976.6036011842</v>
      </c>
      <c r="G105" s="5">
        <f xml:space="preserve"> G54 + (G22 * 'Levellized Salt Sep Plant'!$C$44) + (G74 * 'Levellized Salt Sep Plant'!$I$44)</f>
        <v>3061953.2072023684</v>
      </c>
      <c r="H105" s="5">
        <f xml:space="preserve"> H54 + (H22 * 'Levellized Salt Sep Plant'!$C$44) + (H74 * 'Levellized Salt Sep Plant'!$I$44)</f>
        <v>5645182.8493835917</v>
      </c>
      <c r="I105" s="5">
        <f xml:space="preserve"> I54 + (I22 * 'Levellized Salt Sep Plant'!$C$44) + (I74 * 'Levellized Salt Sep Plant'!$I$44)</f>
        <v>7569715.2774421927</v>
      </c>
      <c r="J105" s="5">
        <f xml:space="preserve"> J54 + (J22 * 'Levellized Salt Sep Plant'!$C$44) + (J74 * 'Levellized Salt Sep Plant'!$I$44)</f>
        <v>9494247.7055007946</v>
      </c>
      <c r="K105" s="5">
        <f xml:space="preserve"> K54 + (K22 * 'Levellized Salt Sep Plant'!$C$44) + (K74 * 'Levellized Salt Sep Plant'!$I$44)</f>
        <v>11444463.020517843</v>
      </c>
      <c r="L105" s="5">
        <f xml:space="preserve"> L54 + (L22 * 'Levellized Salt Sep Plant'!$C$44) + (L74 * 'Levellized Salt Sep Plant'!$I$44)</f>
        <v>17386895.59184109</v>
      </c>
      <c r="M105" s="5">
        <f xml:space="preserve"> M54 + (M22 * 'Levellized Salt Sep Plant'!$C$44) + (M74 * 'Levellized Salt Sep Plant'!$I$44)</f>
        <v>19958793.431675907</v>
      </c>
      <c r="N105" s="5">
        <f xml:space="preserve"> N54 + (N22 * 'Levellized Salt Sep Plant'!$C$44) + (N74 * 'Levellized Salt Sep Plant'!$I$44)</f>
        <v>22394157.757030115</v>
      </c>
      <c r="O105" s="5">
        <f xml:space="preserve"> O54 + (O22 * 'Levellized Salt Sep Plant'!$C$44) + (O74 * 'Levellized Salt Sep Plant'!$I$44)</f>
        <v>19126354.573375449</v>
      </c>
      <c r="P105" s="5">
        <f xml:space="preserve"> P54 + (P22 * 'Levellized Salt Sep Plant'!$C$44) + (P74 * 'Levellized Salt Sep Plant'!$I$44)</f>
        <v>20991402.147828769</v>
      </c>
      <c r="Q105" s="5">
        <f xml:space="preserve"> Q54 + (Q22 * 'Levellized Salt Sep Plant'!$C$44) + (Q74 * 'Levellized Salt Sep Plant'!$I$44)</f>
        <v>22856449.722282089</v>
      </c>
      <c r="R105" s="5">
        <f xml:space="preserve"> R54 + (R22 * 'Levellized Salt Sep Plant'!$C$44) + (R74 * 'Levellized Salt Sep Plant'!$I$44)</f>
        <v>20298709.526666936</v>
      </c>
      <c r="S105" s="5">
        <f xml:space="preserve"> S54 + (S22 * 'Levellized Salt Sep Plant'!$C$44) + (S74 * 'Levellized Salt Sep Plant'!$I$44)</f>
        <v>21821567.050579719</v>
      </c>
      <c r="T105" s="5">
        <f xml:space="preserve"> T54 + (T22 * 'Levellized Salt Sep Plant'!$C$44) + (T74 * 'Levellized Salt Sep Plant'!$I$44)</f>
        <v>23344424.574492503</v>
      </c>
      <c r="U105" s="5">
        <f xml:space="preserve"> U54 + (U22 * 'Levellized Salt Sep Plant'!$C$44) + (U74 * 'Levellized Salt Sep Plant'!$I$44)</f>
        <v>23524204.783201605</v>
      </c>
      <c r="V105" s="5">
        <f xml:space="preserve"> V54 + (V22 * 'Levellized Salt Sep Plant'!$C$44) + (V74 * 'Levellized Salt Sep Plant'!$I$44)</f>
        <v>23703984.991910707</v>
      </c>
      <c r="W105" s="5">
        <f xml:space="preserve"> W54 + (W22 * 'Levellized Salt Sep Plant'!$C$44) + (W74 * 'Levellized Salt Sep Plant'!$I$44)</f>
        <v>23883765.200619809</v>
      </c>
      <c r="X105" s="5">
        <f xml:space="preserve"> X54 + (X22 * 'Levellized Salt Sep Plant'!$C$44) + (X74 * 'Levellized Salt Sep Plant'!$I$44)</f>
        <v>24063545.409328908</v>
      </c>
      <c r="Y105" s="5">
        <f xml:space="preserve"> Y54 + (Y22 * 'Levellized Salt Sep Plant'!$C$44) + (Y74 * 'Levellized Salt Sep Plant'!$I$44)</f>
        <v>24243325.61803801</v>
      </c>
      <c r="Z105" s="5">
        <f xml:space="preserve"> Z54 + (Z22 * 'Levellized Salt Sep Plant'!$C$44) + (Z74 * 'Levellized Salt Sep Plant'!$I$44)</f>
        <v>24423105.826747112</v>
      </c>
      <c r="AA105" s="5">
        <f xml:space="preserve"> AA54 + (AA22 * 'Levellized Salt Sep Plant'!$C$44) + (AA74 * 'Levellized Salt Sep Plant'!$I$44)</f>
        <v>24628568.922414657</v>
      </c>
      <c r="AB105" s="5">
        <f xml:space="preserve"> AB54 + (AB22 * 'Levellized Salt Sep Plant'!$C$44) + (AB74 * 'Levellized Salt Sep Plant'!$I$44)</f>
        <v>24808349.131123759</v>
      </c>
      <c r="AC105" s="5">
        <f xml:space="preserve"> AC54 + (AC22 * 'Levellized Salt Sep Plant'!$C$44) + (AC74 * 'Levellized Salt Sep Plant'!$I$44)</f>
        <v>24988129.339832861</v>
      </c>
      <c r="AD105" s="5">
        <f xml:space="preserve"> AD54 + (AD22 * 'Levellized Salt Sep Plant'!$C$44) + (AD74 * 'Levellized Salt Sep Plant'!$I$44)</f>
        <v>25167909.548541963</v>
      </c>
      <c r="AE105" s="5">
        <f xml:space="preserve"> AE54 + (AE22 * 'Levellized Salt Sep Plant'!$C$44) + (AE74 * 'Levellized Salt Sep Plant'!$I$44)</f>
        <v>25373372.644209508</v>
      </c>
      <c r="AF105" s="5">
        <f xml:space="preserve"> AF54 + (AF22 * 'Levellized Salt Sep Plant'!$C$44) + (AF74 * 'Levellized Salt Sep Plant'!$I$44)</f>
        <v>25553152.85291861</v>
      </c>
      <c r="AG105" s="5">
        <f xml:space="preserve"> AG54 + (AG22 * 'Levellized Salt Sep Plant'!$C$44) + (AG74 * 'Levellized Salt Sep Plant'!$I$44)</f>
        <v>22336715.443180837</v>
      </c>
      <c r="AH105" s="5">
        <f xml:space="preserve"> AH54 + (AH22 * 'Levellized Salt Sep Plant'!$C$44) + (AH74 * 'Levellized Salt Sep Plant'!$I$44)</f>
        <v>22490812.764931493</v>
      </c>
      <c r="AI105" s="5">
        <f xml:space="preserve"> AI54 + (AI22 * 'Levellized Salt Sep Plant'!$C$44) + (AI74 * 'Levellized Salt Sep Plant'!$I$44)</f>
        <v>22670592.973640595</v>
      </c>
      <c r="AJ105" s="5">
        <f xml:space="preserve"> AJ54 + (AJ22 * 'Levellized Salt Sep Plant'!$C$44) + (AJ74 * 'Levellized Salt Sep Plant'!$I$44)</f>
        <v>22850373.182349697</v>
      </c>
      <c r="AK105" s="5">
        <f xml:space="preserve"> AK54 + (AK22 * 'Levellized Salt Sep Plant'!$C$44) + (AK74 * 'Levellized Salt Sep Plant'!$I$44)</f>
        <v>23004470.504100356</v>
      </c>
      <c r="AL105" s="5">
        <f xml:space="preserve"> AL54 + (AL22 * 'Levellized Salt Sep Plant'!$C$44) + (AL74 * 'Levellized Salt Sep Plant'!$I$44)</f>
        <v>23184250.712809458</v>
      </c>
      <c r="AM105" s="5">
        <f xml:space="preserve"> AM54 + (AM22 * 'Levellized Salt Sep Plant'!$C$44) + (AM74 * 'Levellized Salt Sep Plant'!$I$44)</f>
        <v>23364030.921518557</v>
      </c>
      <c r="AN105" s="5">
        <f xml:space="preserve"> AN54 + (AN22 * 'Levellized Salt Sep Plant'!$C$44) + (AN74 * 'Levellized Salt Sep Plant'!$I$44)</f>
        <v>23543811.130227659</v>
      </c>
      <c r="AO105" s="5">
        <f xml:space="preserve"> AO54 + (AO22 * 'Levellized Salt Sep Plant'!$C$44) + (AO74 * 'Levellized Salt Sep Plant'!$I$44)</f>
        <v>23723591.338936761</v>
      </c>
      <c r="AP105" s="5">
        <f xml:space="preserve"> AP54 + (AP22 * 'Levellized Salt Sep Plant'!$C$44) + (AP74 * 'Levellized Salt Sep Plant'!$I$44)</f>
        <v>23903371.547645863</v>
      </c>
      <c r="AQ105" s="5">
        <f xml:space="preserve"> AQ54 + (AQ22 * 'Levellized Salt Sep Plant'!$C$44) + (AQ74 * 'Levellized Salt Sep Plant'!$I$44)</f>
        <v>24083151.756354965</v>
      </c>
      <c r="AR105" s="5">
        <f xml:space="preserve"> AR54 + (AR22 * 'Levellized Salt Sep Plant'!$C$44) + (AR74 * 'Levellized Salt Sep Plant'!$I$44)</f>
        <v>24262931.965064064</v>
      </c>
      <c r="AS105" s="5">
        <f xml:space="preserve"> AS54 + (AS22 * 'Levellized Salt Sep Plant'!$C$44) + (AS74 * 'Levellized Salt Sep Plant'!$I$44)</f>
        <v>24442712.17377317</v>
      </c>
      <c r="AT105" s="5">
        <f xml:space="preserve"> AT54 + (AT22 * 'Levellized Salt Sep Plant'!$C$44) + (AT74 * 'Levellized Salt Sep Plant'!$I$44)</f>
        <v>24622492.382482268</v>
      </c>
      <c r="AU105" s="5">
        <f xml:space="preserve"> AU54 + (AU22 * 'Levellized Salt Sep Plant'!$C$44) + (AU74 * 'Levellized Salt Sep Plant'!$I$44)</f>
        <v>24802272.59119137</v>
      </c>
      <c r="AV105" s="5">
        <f xml:space="preserve"> AV54 + (AV22 * 'Levellized Salt Sep Plant'!$C$44) + (AV74 * 'Levellized Salt Sep Plant'!$I$44)</f>
        <v>25007735.686858915</v>
      </c>
      <c r="AW105" s="5">
        <f xml:space="preserve"> AW54 + (AW22 * 'Levellized Salt Sep Plant'!$C$44) + (AW74 * 'Levellized Salt Sep Plant'!$I$44)</f>
        <v>25187515.895568017</v>
      </c>
      <c r="AX105" s="5">
        <f xml:space="preserve"> AX54 + (AX22 * 'Levellized Salt Sep Plant'!$C$44) + (AX74 * 'Levellized Salt Sep Plant'!$I$44)</f>
        <v>24226662.602475349</v>
      </c>
      <c r="AY105" s="5">
        <f xml:space="preserve"> AY54 + (AY22 * 'Levellized Salt Sep Plant'!$C$44) + (AY74 * 'Levellized Salt Sep Plant'!$I$44)</f>
        <v>23291492.19634112</v>
      </c>
      <c r="AZ105" s="5">
        <f xml:space="preserve"> AZ54 + (AZ22 * 'Levellized Salt Sep Plant'!$C$44) + (AZ74 * 'Levellized Salt Sep Plant'!$I$44)</f>
        <v>22304956.016290005</v>
      </c>
      <c r="BA105" s="5">
        <f xml:space="preserve"> BA54 + (BA22 * 'Levellized Salt Sep Plant'!$C$44) + (BA74 * 'Levellized Salt Sep Plant'!$I$44)</f>
        <v>21344102.723197334</v>
      </c>
      <c r="BB105" s="5">
        <f xml:space="preserve"> BB54 + (BB22 * 'Levellized Salt Sep Plant'!$C$44) + (BB74 * 'Levellized Salt Sep Plant'!$I$44)</f>
        <v>20357566.543146219</v>
      </c>
      <c r="BC105" s="5">
        <f xml:space="preserve"> BC54 + (BC22 * 'Levellized Salt Sep Plant'!$C$44) + (BC74 * 'Levellized Salt Sep Plant'!$I$44)</f>
        <v>19371030.363095108</v>
      </c>
      <c r="BD105" s="5">
        <f xml:space="preserve"> BD54 + (BD22 * 'Levellized Salt Sep Plant'!$C$44) + (BD74 * 'Levellized Salt Sep Plant'!$I$44)</f>
        <v>18384494.183043994</v>
      </c>
      <c r="BE105" s="5">
        <f xml:space="preserve"> BE54 + (BE22 * 'Levellized Salt Sep Plant'!$C$44) + (BE74 * 'Levellized Salt Sep Plant'!$I$44)</f>
        <v>17372275.116034437</v>
      </c>
      <c r="BF105" s="5">
        <f xml:space="preserve"> BF54 + (BF22 * 'Levellized Salt Sep Plant'!$C$44) + (BF74 * 'Levellized Salt Sep Plant'!$I$44)</f>
        <v>16360056.04902488</v>
      </c>
      <c r="BG105" s="5">
        <f xml:space="preserve"> BG54 + (BG22 * 'Levellized Salt Sep Plant'!$C$44) + (BG74 * 'Levellized Salt Sep Plant'!$I$44)</f>
        <v>15347836.982015319</v>
      </c>
      <c r="BH105" s="5">
        <f xml:space="preserve"> BH54 + (BH22 * 'Levellized Salt Sep Plant'!$C$44) + (BH74 * 'Levellized Salt Sep Plant'!$I$44)</f>
        <v>14335617.915005764</v>
      </c>
      <c r="BI105" s="5"/>
    </row>
    <row r="106" spans="1:61" hidden="1" x14ac:dyDescent="0.2">
      <c r="A106" t="s">
        <v>629</v>
      </c>
      <c r="B106" s="31"/>
      <c r="C106" s="8">
        <f xml:space="preserve"> C105 / (60833.3/10*640)</f>
        <v>0</v>
      </c>
      <c r="D106" s="8">
        <f t="shared" ref="D106:BH106" si="52" xml:space="preserve"> D105 / (60833.3/10*640)</f>
        <v>0</v>
      </c>
      <c r="E106" s="8">
        <f t="shared" si="52"/>
        <v>0</v>
      </c>
      <c r="F106" s="8">
        <f t="shared" si="52"/>
        <v>0.39323050748962329</v>
      </c>
      <c r="G106" s="8">
        <f t="shared" si="52"/>
        <v>0.78646101497924659</v>
      </c>
      <c r="H106" s="8">
        <f t="shared" si="52"/>
        <v>1.4499621428003842</v>
      </c>
      <c r="I106" s="8">
        <f t="shared" si="52"/>
        <v>1.9442772496319327</v>
      </c>
      <c r="J106" s="8">
        <f t="shared" si="52"/>
        <v>2.4385923564634813</v>
      </c>
      <c r="K106" s="8">
        <f t="shared" si="52"/>
        <v>2.9395040988338836</v>
      </c>
      <c r="L106" s="8">
        <f t="shared" si="52"/>
        <v>4.4658146709535238</v>
      </c>
      <c r="M106" s="8">
        <f t="shared" si="52"/>
        <v>5.1264052315086648</v>
      </c>
      <c r="N106" s="8">
        <f t="shared" si="52"/>
        <v>5.7519272331699174</v>
      </c>
      <c r="O106" s="8">
        <f t="shared" si="52"/>
        <v>4.9125937637608246</v>
      </c>
      <c r="P106" s="8">
        <f t="shared" si="52"/>
        <v>5.3916302183150426</v>
      </c>
      <c r="Q106" s="8">
        <f t="shared" si="52"/>
        <v>5.8706666728692616</v>
      </c>
      <c r="R106" s="8">
        <f t="shared" si="52"/>
        <v>5.2137124955274636</v>
      </c>
      <c r="S106" s="8">
        <f t="shared" si="52"/>
        <v>5.6048576218174597</v>
      </c>
      <c r="T106" s="8">
        <f t="shared" si="52"/>
        <v>5.9960027481074567</v>
      </c>
      <c r="U106" s="8">
        <f t="shared" si="52"/>
        <v>6.0421791968794238</v>
      </c>
      <c r="V106" s="8">
        <f t="shared" si="52"/>
        <v>6.088355645651391</v>
      </c>
      <c r="W106" s="8">
        <f t="shared" si="52"/>
        <v>6.134532094423359</v>
      </c>
      <c r="X106" s="8">
        <f t="shared" si="52"/>
        <v>6.1807085431953253</v>
      </c>
      <c r="Y106" s="8">
        <f t="shared" si="52"/>
        <v>6.2268849919672924</v>
      </c>
      <c r="Z106" s="8">
        <f t="shared" si="52"/>
        <v>6.2730614407392595</v>
      </c>
      <c r="AA106" s="8">
        <f t="shared" si="52"/>
        <v>6.3258345250500794</v>
      </c>
      <c r="AB106" s="8">
        <f t="shared" si="52"/>
        <v>6.3720109738220465</v>
      </c>
      <c r="AC106" s="8">
        <f t="shared" si="52"/>
        <v>6.4181874225940136</v>
      </c>
      <c r="AD106" s="8">
        <f t="shared" si="52"/>
        <v>6.4643638713659817</v>
      </c>
      <c r="AE106" s="8">
        <f t="shared" si="52"/>
        <v>6.5171369556768006</v>
      </c>
      <c r="AF106" s="8">
        <f t="shared" si="52"/>
        <v>6.5633134044487687</v>
      </c>
      <c r="AG106" s="8">
        <f t="shared" si="52"/>
        <v>5.7371732061173821</v>
      </c>
      <c r="AH106" s="8">
        <f t="shared" si="52"/>
        <v>5.7767530193504966</v>
      </c>
      <c r="AI106" s="8">
        <f t="shared" si="52"/>
        <v>5.8229294681224637</v>
      </c>
      <c r="AJ106" s="8">
        <f t="shared" si="52"/>
        <v>5.8691059168944308</v>
      </c>
      <c r="AK106" s="8">
        <f t="shared" si="52"/>
        <v>5.9086857301275462</v>
      </c>
      <c r="AL106" s="8">
        <f t="shared" si="52"/>
        <v>5.9548621788995133</v>
      </c>
      <c r="AM106" s="8">
        <f t="shared" si="52"/>
        <v>6.0010386276714796</v>
      </c>
      <c r="AN106" s="8">
        <f t="shared" si="52"/>
        <v>6.0472150764434476</v>
      </c>
      <c r="AO106" s="8">
        <f t="shared" si="52"/>
        <v>6.0933915252154147</v>
      </c>
      <c r="AP106" s="8">
        <f t="shared" si="52"/>
        <v>6.1395679739873819</v>
      </c>
      <c r="AQ106" s="8">
        <f t="shared" si="52"/>
        <v>6.185744422759349</v>
      </c>
      <c r="AR106" s="8">
        <f t="shared" si="52"/>
        <v>6.2319208715313152</v>
      </c>
      <c r="AS106" s="8">
        <f t="shared" si="52"/>
        <v>6.2780973203032842</v>
      </c>
      <c r="AT106" s="8">
        <f t="shared" si="52"/>
        <v>6.3242737690752504</v>
      </c>
      <c r="AU106" s="8">
        <f t="shared" si="52"/>
        <v>6.3704502178472175</v>
      </c>
      <c r="AV106" s="8">
        <f t="shared" si="52"/>
        <v>6.4232233021580374</v>
      </c>
      <c r="AW106" s="8">
        <f t="shared" si="52"/>
        <v>6.4693997509300045</v>
      </c>
      <c r="AX106" s="8">
        <f t="shared" si="52"/>
        <v>6.2226051054879044</v>
      </c>
      <c r="AY106" s="8">
        <f t="shared" si="52"/>
        <v>5.9824070955846551</v>
      </c>
      <c r="AZ106" s="8">
        <f t="shared" si="52"/>
        <v>5.7290158146037005</v>
      </c>
      <c r="BA106" s="8">
        <f t="shared" si="52"/>
        <v>5.4822211691615994</v>
      </c>
      <c r="BB106" s="8">
        <f t="shared" si="52"/>
        <v>5.2288298881806456</v>
      </c>
      <c r="BC106" s="8">
        <f t="shared" si="52"/>
        <v>4.9754386071996928</v>
      </c>
      <c r="BD106" s="8">
        <f t="shared" si="52"/>
        <v>4.722047326218739</v>
      </c>
      <c r="BE106" s="8">
        <f t="shared" si="52"/>
        <v>4.4620594096989326</v>
      </c>
      <c r="BF106" s="8">
        <f t="shared" si="52"/>
        <v>4.2020714931791261</v>
      </c>
      <c r="BG106" s="8">
        <f t="shared" si="52"/>
        <v>3.9420835766593192</v>
      </c>
      <c r="BH106" s="8">
        <f t="shared" si="52"/>
        <v>3.6820956601395132</v>
      </c>
      <c r="BI106" s="8"/>
    </row>
    <row r="107" spans="1:61" hidden="1" x14ac:dyDescent="0.2">
      <c r="A107" t="s">
        <v>635</v>
      </c>
      <c r="B107" s="31"/>
      <c r="C107" s="8">
        <f xml:space="preserve"> C106</f>
        <v>0</v>
      </c>
      <c r="D107" s="8">
        <f xml:space="preserve"> SUM($C106:D106)</f>
        <v>0</v>
      </c>
      <c r="E107" s="8">
        <f xml:space="preserve"> SUM($C106:E106)</f>
        <v>0</v>
      </c>
      <c r="F107" s="8">
        <f xml:space="preserve"> SUM($C106:F106)</f>
        <v>0.39323050748962329</v>
      </c>
      <c r="G107" s="8">
        <f xml:space="preserve"> SUM($C106:G106)</f>
        <v>1.17969152246887</v>
      </c>
      <c r="H107" s="8">
        <f xml:space="preserve"> SUM($C106:H106)</f>
        <v>2.6296536652692541</v>
      </c>
      <c r="I107" s="8">
        <f xml:space="preserve"> SUM($C106:I106)</f>
        <v>4.5739309149011866</v>
      </c>
      <c r="J107" s="8">
        <f xml:space="preserve"> SUM($C106:J106)</f>
        <v>7.0125232713646675</v>
      </c>
      <c r="K107" s="8">
        <f xml:space="preserve"> SUM($C106:K106)</f>
        <v>9.9520273701985502</v>
      </c>
      <c r="L107" s="8">
        <f xml:space="preserve"> SUM($C106:L106)</f>
        <v>14.417842041152074</v>
      </c>
      <c r="M107" s="8">
        <f xml:space="preserve"> SUM($C106:M106)</f>
        <v>19.544247272660741</v>
      </c>
      <c r="N107" s="8">
        <f xml:space="preserve"> SUM($C106:N106)</f>
        <v>25.296174505830656</v>
      </c>
      <c r="O107" s="8">
        <f xml:space="preserve"> SUM($C106:O106)</f>
        <v>30.208768269591481</v>
      </c>
      <c r="P107" s="8">
        <f xml:space="preserve"> SUM($C106:P106)</f>
        <v>35.600398487906524</v>
      </c>
      <c r="Q107" s="8">
        <f xml:space="preserve"> SUM($C106:Q106)</f>
        <v>41.471065160775787</v>
      </c>
      <c r="R107" s="8">
        <f xml:space="preserve"> SUM($C106:R106)</f>
        <v>46.684777656303254</v>
      </c>
      <c r="S107" s="8">
        <f xml:space="preserve"> SUM($C106:S106)</f>
        <v>52.289635278120713</v>
      </c>
      <c r="T107" s="8">
        <f xml:space="preserve"> SUM($C106:T106)</f>
        <v>58.28563802622817</v>
      </c>
      <c r="U107" s="8">
        <f xml:space="preserve"> SUM($C106:U106)</f>
        <v>64.327817223107587</v>
      </c>
      <c r="V107" s="8">
        <f xml:space="preserve"> SUM($C106:V106)</f>
        <v>70.416172868758977</v>
      </c>
      <c r="W107" s="8">
        <f xml:space="preserve"> SUM($C106:W106)</f>
        <v>76.550704963182341</v>
      </c>
      <c r="X107" s="8">
        <f xml:space="preserve"> SUM($C106:X106)</f>
        <v>82.731413506377663</v>
      </c>
      <c r="Y107" s="8">
        <f xml:space="preserve"> SUM($C106:Y106)</f>
        <v>88.958298498344959</v>
      </c>
      <c r="Z107" s="8">
        <f xml:space="preserve"> SUM($C106:Z106)</f>
        <v>95.231359939084214</v>
      </c>
      <c r="AA107" s="8">
        <f xml:space="preserve"> SUM($C106:AA106)</f>
        <v>101.5571944641343</v>
      </c>
      <c r="AB107" s="8">
        <f xml:space="preserve"> SUM($C106:AB106)</f>
        <v>107.92920543795634</v>
      </c>
      <c r="AC107" s="8">
        <f xml:space="preserve"> SUM($C106:AC106)</f>
        <v>114.34739286055036</v>
      </c>
      <c r="AD107" s="8">
        <f xml:space="preserve"> SUM($C106:AD106)</f>
        <v>120.81175673191633</v>
      </c>
      <c r="AE107" s="8">
        <f xml:space="preserve"> SUM($C106:AE106)</f>
        <v>127.32889368759314</v>
      </c>
      <c r="AF107" s="8">
        <f xml:space="preserve"> SUM($C106:AF106)</f>
        <v>133.8922070920419</v>
      </c>
      <c r="AG107" s="8">
        <f xml:space="preserve"> SUM($C106:AG106)</f>
        <v>139.62938029815928</v>
      </c>
      <c r="AH107" s="8">
        <f xml:space="preserve"> SUM($C106:AH106)</f>
        <v>145.40613331750978</v>
      </c>
      <c r="AI107" s="8">
        <f xml:space="preserve"> SUM($C106:AI106)</f>
        <v>151.22906278563224</v>
      </c>
      <c r="AJ107" s="8">
        <f xml:space="preserve"> SUM($C106:AJ106)</f>
        <v>157.09816870252666</v>
      </c>
      <c r="AK107" s="8">
        <f xml:space="preserve"> SUM($C106:AK106)</f>
        <v>163.00685443265422</v>
      </c>
      <c r="AL107" s="8">
        <f xml:space="preserve"> SUM($C106:AL106)</f>
        <v>168.96171661155373</v>
      </c>
      <c r="AM107" s="8">
        <f xml:space="preserve"> SUM($C106:AM106)</f>
        <v>174.9627552392252</v>
      </c>
      <c r="AN107" s="8">
        <f xml:space="preserve"> SUM($C106:AN106)</f>
        <v>181.00997031566865</v>
      </c>
      <c r="AO107" s="8">
        <f xml:space="preserve"> SUM($C106:AO106)</f>
        <v>187.10336184088408</v>
      </c>
      <c r="AP107" s="8">
        <f xml:space="preserve"> SUM($C106:AP106)</f>
        <v>193.24292981487145</v>
      </c>
      <c r="AQ107" s="8">
        <f xml:space="preserve"> SUM($C106:AQ106)</f>
        <v>199.42867423763079</v>
      </c>
      <c r="AR107" s="8">
        <f xml:space="preserve"> SUM($C106:AR106)</f>
        <v>205.6605951091621</v>
      </c>
      <c r="AS107" s="8">
        <f xml:space="preserve"> SUM($C106:AS106)</f>
        <v>211.93869242946539</v>
      </c>
      <c r="AT107" s="8">
        <f xml:space="preserve"> SUM($C106:AT106)</f>
        <v>218.26296619854065</v>
      </c>
      <c r="AU107" s="8">
        <f xml:space="preserve"> SUM($C106:AU106)</f>
        <v>224.63341641638786</v>
      </c>
      <c r="AV107" s="8">
        <f xml:space="preserve"> SUM($C106:AV106)</f>
        <v>231.05663971854591</v>
      </c>
      <c r="AW107" s="8">
        <f xml:space="preserve"> SUM($C106:AW106)</f>
        <v>237.5260394694759</v>
      </c>
      <c r="AX107" s="8">
        <f xml:space="preserve"> SUM($C106:AX106)</f>
        <v>243.74864457496381</v>
      </c>
      <c r="AY107" s="8">
        <f xml:space="preserve"> SUM($C106:AY106)</f>
        <v>249.73105167054845</v>
      </c>
      <c r="AZ107" s="8">
        <f xml:space="preserve"> SUM($C106:AZ106)</f>
        <v>255.46006748515217</v>
      </c>
      <c r="BA107" s="8">
        <f xml:space="preserve"> SUM($C106:BA106)</f>
        <v>260.94228865431376</v>
      </c>
      <c r="BB107" s="8">
        <f xml:space="preserve"> SUM($C106:BB106)</f>
        <v>266.17111854249441</v>
      </c>
      <c r="BC107" s="8">
        <f xml:space="preserve"> SUM($C106:BC106)</f>
        <v>271.1465571496941</v>
      </c>
      <c r="BD107" s="8">
        <f xml:space="preserve"> SUM($C106:BD106)</f>
        <v>275.86860447591283</v>
      </c>
      <c r="BE107" s="8">
        <f xml:space="preserve"> SUM($C106:BE106)</f>
        <v>280.33066388561178</v>
      </c>
      <c r="BF107" s="8">
        <f xml:space="preserve"> SUM($C106:BF106)</f>
        <v>284.5327353787909</v>
      </c>
      <c r="BG107" s="8">
        <f xml:space="preserve"> SUM($C106:BG106)</f>
        <v>288.47481895545025</v>
      </c>
      <c r="BH107" s="8">
        <f xml:space="preserve"> SUM($C106:BH106)</f>
        <v>292.15691461558976</v>
      </c>
      <c r="BI107" s="8"/>
    </row>
    <row r="108" spans="1:61" x14ac:dyDescent="0.2">
      <c r="A108" t="s">
        <v>520</v>
      </c>
      <c r="B108" s="31"/>
      <c r="C108" s="127">
        <f t="shared" ref="C108:AL108" si="53" xml:space="preserve"> D109</f>
        <v>0</v>
      </c>
      <c r="D108" s="127">
        <f t="shared" si="53"/>
        <v>0</v>
      </c>
      <c r="E108" s="127">
        <f t="shared" si="53"/>
        <v>0.39323050748962329</v>
      </c>
      <c r="F108" s="127">
        <f t="shared" si="53"/>
        <v>0.78646101497924659</v>
      </c>
      <c r="G108" s="127">
        <f t="shared" si="53"/>
        <v>1.4499621428003842</v>
      </c>
      <c r="H108" s="127">
        <f t="shared" si="53"/>
        <v>1.9442772496319327</v>
      </c>
      <c r="I108" s="127">
        <f t="shared" si="53"/>
        <v>2.4385923564634813</v>
      </c>
      <c r="J108" s="127">
        <f t="shared" si="53"/>
        <v>2.9395040988338836</v>
      </c>
      <c r="K108" s="127">
        <f t="shared" si="53"/>
        <v>4.4658146709535238</v>
      </c>
      <c r="L108" s="127">
        <f t="shared" si="53"/>
        <v>5.1264052315086648</v>
      </c>
      <c r="M108" s="127">
        <f t="shared" si="53"/>
        <v>5.7519272331699174</v>
      </c>
      <c r="N108" s="127">
        <f t="shared" si="53"/>
        <v>4.9125937637608246</v>
      </c>
      <c r="O108" s="127">
        <f t="shared" si="53"/>
        <v>5.3916302183150426</v>
      </c>
      <c r="P108" s="127">
        <f t="shared" si="53"/>
        <v>5.8706666728692616</v>
      </c>
      <c r="Q108" s="127">
        <f t="shared" si="53"/>
        <v>5.2137124955274636</v>
      </c>
      <c r="R108" s="127">
        <f t="shared" si="53"/>
        <v>5.6048576218174597</v>
      </c>
      <c r="S108" s="127">
        <f t="shared" si="53"/>
        <v>5.9960027481074567</v>
      </c>
      <c r="T108" s="127">
        <f t="shared" si="53"/>
        <v>6.0421791968794238</v>
      </c>
      <c r="U108" s="127">
        <f t="shared" si="53"/>
        <v>6.088355645651391</v>
      </c>
      <c r="V108" s="127">
        <f t="shared" si="53"/>
        <v>6.134532094423359</v>
      </c>
      <c r="W108" s="127">
        <f t="shared" si="53"/>
        <v>6.1807085431953253</v>
      </c>
      <c r="X108" s="127">
        <f t="shared" si="53"/>
        <v>6.2268849919672924</v>
      </c>
      <c r="Y108" s="127">
        <f t="shared" si="53"/>
        <v>6.2730614407392595</v>
      </c>
      <c r="Z108" s="127">
        <f t="shared" si="53"/>
        <v>6.3258345250500794</v>
      </c>
      <c r="AA108" s="127">
        <f t="shared" si="53"/>
        <v>6.3720109738220465</v>
      </c>
      <c r="AB108" s="127">
        <f t="shared" si="53"/>
        <v>6.4181874225940136</v>
      </c>
      <c r="AC108" s="127">
        <f t="shared" si="53"/>
        <v>6.4643638713659817</v>
      </c>
      <c r="AD108" s="127">
        <f t="shared" si="53"/>
        <v>6.5171369556768006</v>
      </c>
      <c r="AE108" s="127">
        <f t="shared" si="53"/>
        <v>6.5633134044487687</v>
      </c>
      <c r="AF108" s="127">
        <f t="shared" si="53"/>
        <v>5.7371732061173821</v>
      </c>
      <c r="AG108" s="127">
        <f t="shared" si="53"/>
        <v>5.7767530193504966</v>
      </c>
      <c r="AH108" s="127">
        <f t="shared" si="53"/>
        <v>5.8229294681224637</v>
      </c>
      <c r="AI108" s="127">
        <f t="shared" si="53"/>
        <v>5.8691059168944308</v>
      </c>
      <c r="AJ108" s="127">
        <f t="shared" si="53"/>
        <v>5.9086857301275462</v>
      </c>
      <c r="AK108" s="127">
        <f t="shared" si="53"/>
        <v>5.9548621788995133</v>
      </c>
      <c r="AL108" s="127">
        <f t="shared" si="53"/>
        <v>6.0010386276714796</v>
      </c>
      <c r="AM108" s="127">
        <f t="shared" ref="AM108:BH108" si="54" xml:space="preserve"> BI109</f>
        <v>0</v>
      </c>
      <c r="AN108" s="127">
        <f t="shared" si="54"/>
        <v>0</v>
      </c>
      <c r="AO108" s="127">
        <f t="shared" si="54"/>
        <v>0</v>
      </c>
      <c r="AP108" s="127">
        <f t="shared" si="54"/>
        <v>0</v>
      </c>
      <c r="AQ108" s="127">
        <f t="shared" si="54"/>
        <v>0</v>
      </c>
      <c r="AR108" s="127">
        <f t="shared" si="54"/>
        <v>0</v>
      </c>
      <c r="AS108" s="127">
        <f t="shared" si="54"/>
        <v>0</v>
      </c>
      <c r="AT108" s="127">
        <f t="shared" si="54"/>
        <v>0</v>
      </c>
      <c r="AU108" s="127">
        <f t="shared" si="54"/>
        <v>0</v>
      </c>
      <c r="AV108" s="127">
        <f t="shared" si="54"/>
        <v>0</v>
      </c>
      <c r="AW108" s="127">
        <f t="shared" si="54"/>
        <v>0</v>
      </c>
      <c r="AX108" s="127">
        <f t="shared" si="54"/>
        <v>0</v>
      </c>
      <c r="AY108" s="127">
        <f t="shared" si="54"/>
        <v>0</v>
      </c>
      <c r="AZ108" s="127">
        <f t="shared" si="54"/>
        <v>0</v>
      </c>
      <c r="BA108" s="127">
        <f t="shared" si="54"/>
        <v>0</v>
      </c>
      <c r="BB108" s="127">
        <f t="shared" si="54"/>
        <v>0</v>
      </c>
      <c r="BC108" s="127">
        <f t="shared" si="54"/>
        <v>0</v>
      </c>
      <c r="BD108" s="127">
        <f t="shared" si="54"/>
        <v>0</v>
      </c>
      <c r="BE108" s="127">
        <f t="shared" si="54"/>
        <v>0</v>
      </c>
      <c r="BF108" s="127">
        <f t="shared" si="54"/>
        <v>0</v>
      </c>
      <c r="BG108" s="127">
        <f t="shared" si="54"/>
        <v>0</v>
      </c>
      <c r="BH108" s="127">
        <f t="shared" si="54"/>
        <v>0</v>
      </c>
    </row>
    <row r="109" spans="1:61" x14ac:dyDescent="0.2">
      <c r="A109" t="s">
        <v>662</v>
      </c>
      <c r="B109" s="31"/>
      <c r="C109" s="8">
        <f xml:space="preserve">  C106</f>
        <v>0</v>
      </c>
      <c r="D109" s="8">
        <f t="shared" ref="D109:BH109" si="55" xml:space="preserve">  D106</f>
        <v>0</v>
      </c>
      <c r="E109" s="8">
        <f t="shared" si="55"/>
        <v>0</v>
      </c>
      <c r="F109" s="8">
        <f t="shared" si="55"/>
        <v>0.39323050748962329</v>
      </c>
      <c r="G109" s="8">
        <f t="shared" si="55"/>
        <v>0.78646101497924659</v>
      </c>
      <c r="H109" s="8">
        <f t="shared" si="55"/>
        <v>1.4499621428003842</v>
      </c>
      <c r="I109" s="8">
        <f t="shared" si="55"/>
        <v>1.9442772496319327</v>
      </c>
      <c r="J109" s="8">
        <f t="shared" si="55"/>
        <v>2.4385923564634813</v>
      </c>
      <c r="K109" s="8">
        <f t="shared" si="55"/>
        <v>2.9395040988338836</v>
      </c>
      <c r="L109" s="8">
        <f t="shared" si="55"/>
        <v>4.4658146709535238</v>
      </c>
      <c r="M109" s="8">
        <f t="shared" si="55"/>
        <v>5.1264052315086648</v>
      </c>
      <c r="N109" s="8">
        <f t="shared" si="55"/>
        <v>5.7519272331699174</v>
      </c>
      <c r="O109" s="8">
        <f t="shared" si="55"/>
        <v>4.9125937637608246</v>
      </c>
      <c r="P109" s="8">
        <f t="shared" si="55"/>
        <v>5.3916302183150426</v>
      </c>
      <c r="Q109" s="8">
        <f t="shared" si="55"/>
        <v>5.8706666728692616</v>
      </c>
      <c r="R109" s="8">
        <f t="shared" si="55"/>
        <v>5.2137124955274636</v>
      </c>
      <c r="S109" s="8">
        <f t="shared" si="55"/>
        <v>5.6048576218174597</v>
      </c>
      <c r="T109" s="8">
        <f t="shared" si="55"/>
        <v>5.9960027481074567</v>
      </c>
      <c r="U109" s="8">
        <f t="shared" si="55"/>
        <v>6.0421791968794238</v>
      </c>
      <c r="V109" s="8">
        <f t="shared" si="55"/>
        <v>6.088355645651391</v>
      </c>
      <c r="W109" s="8">
        <f t="shared" si="55"/>
        <v>6.134532094423359</v>
      </c>
      <c r="X109" s="8">
        <f t="shared" si="55"/>
        <v>6.1807085431953253</v>
      </c>
      <c r="Y109" s="8">
        <f t="shared" si="55"/>
        <v>6.2268849919672924</v>
      </c>
      <c r="Z109" s="8">
        <f t="shared" si="55"/>
        <v>6.2730614407392595</v>
      </c>
      <c r="AA109" s="8">
        <f t="shared" si="55"/>
        <v>6.3258345250500794</v>
      </c>
      <c r="AB109" s="8">
        <f t="shared" si="55"/>
        <v>6.3720109738220465</v>
      </c>
      <c r="AC109" s="8">
        <f t="shared" si="55"/>
        <v>6.4181874225940136</v>
      </c>
      <c r="AD109" s="8">
        <f t="shared" si="55"/>
        <v>6.4643638713659817</v>
      </c>
      <c r="AE109" s="8">
        <f t="shared" si="55"/>
        <v>6.5171369556768006</v>
      </c>
      <c r="AF109" s="8">
        <f t="shared" si="55"/>
        <v>6.5633134044487687</v>
      </c>
      <c r="AG109" s="8">
        <f t="shared" si="55"/>
        <v>5.7371732061173821</v>
      </c>
      <c r="AH109" s="8">
        <f t="shared" si="55"/>
        <v>5.7767530193504966</v>
      </c>
      <c r="AI109" s="8">
        <f t="shared" si="55"/>
        <v>5.8229294681224637</v>
      </c>
      <c r="AJ109" s="8">
        <f t="shared" si="55"/>
        <v>5.8691059168944308</v>
      </c>
      <c r="AK109" s="8">
        <f t="shared" si="55"/>
        <v>5.9086857301275462</v>
      </c>
      <c r="AL109" s="8">
        <f t="shared" si="55"/>
        <v>5.9548621788995133</v>
      </c>
      <c r="AM109" s="8">
        <f t="shared" si="55"/>
        <v>6.0010386276714796</v>
      </c>
      <c r="AN109" s="8">
        <f t="shared" si="55"/>
        <v>6.0472150764434476</v>
      </c>
      <c r="AO109" s="8">
        <f t="shared" si="55"/>
        <v>6.0933915252154147</v>
      </c>
      <c r="AP109" s="8">
        <f t="shared" si="55"/>
        <v>6.1395679739873819</v>
      </c>
      <c r="AQ109" s="8">
        <f t="shared" si="55"/>
        <v>6.185744422759349</v>
      </c>
      <c r="AR109" s="8">
        <f t="shared" si="55"/>
        <v>6.2319208715313152</v>
      </c>
      <c r="AS109" s="8">
        <f t="shared" si="55"/>
        <v>6.2780973203032842</v>
      </c>
      <c r="AT109" s="8">
        <f t="shared" si="55"/>
        <v>6.3242737690752504</v>
      </c>
      <c r="AU109" s="8">
        <f t="shared" si="55"/>
        <v>6.3704502178472175</v>
      </c>
      <c r="AV109" s="8">
        <f t="shared" si="55"/>
        <v>6.4232233021580374</v>
      </c>
      <c r="AW109" s="8">
        <f t="shared" si="55"/>
        <v>6.4693997509300045</v>
      </c>
      <c r="AX109" s="8">
        <f t="shared" si="55"/>
        <v>6.2226051054879044</v>
      </c>
      <c r="AY109" s="8">
        <f t="shared" si="55"/>
        <v>5.9824070955846551</v>
      </c>
      <c r="AZ109" s="8">
        <f t="shared" si="55"/>
        <v>5.7290158146037005</v>
      </c>
      <c r="BA109" s="8">
        <f t="shared" si="55"/>
        <v>5.4822211691615994</v>
      </c>
      <c r="BB109" s="8">
        <f t="shared" si="55"/>
        <v>5.2288298881806456</v>
      </c>
      <c r="BC109" s="8">
        <f t="shared" si="55"/>
        <v>4.9754386071996928</v>
      </c>
      <c r="BD109" s="8">
        <f t="shared" si="55"/>
        <v>4.722047326218739</v>
      </c>
      <c r="BE109" s="8">
        <f t="shared" si="55"/>
        <v>4.4620594096989326</v>
      </c>
      <c r="BF109" s="8">
        <f t="shared" si="55"/>
        <v>4.2020714931791261</v>
      </c>
      <c r="BG109" s="8">
        <f t="shared" si="55"/>
        <v>3.9420835766593192</v>
      </c>
      <c r="BH109" s="8">
        <f t="shared" si="55"/>
        <v>3.6820956601395132</v>
      </c>
    </row>
    <row r="110" spans="1:61" x14ac:dyDescent="0.2">
      <c r="A110" t="s">
        <v>521</v>
      </c>
      <c r="B110" s="31"/>
      <c r="C110">
        <v>0</v>
      </c>
      <c r="D110" s="8">
        <f xml:space="preserve"> SUM($C109:C109)</f>
        <v>0</v>
      </c>
      <c r="E110" s="8">
        <f xml:space="preserve"> SUM($C109:D109)</f>
        <v>0</v>
      </c>
      <c r="F110" s="8">
        <f xml:space="preserve"> SUM($C109:E109)</f>
        <v>0</v>
      </c>
      <c r="G110" s="8">
        <f xml:space="preserve"> SUM($C109:F109)</f>
        <v>0.39323050748962329</v>
      </c>
      <c r="H110" s="8">
        <f xml:space="preserve"> SUM($C109:G109)</f>
        <v>1.17969152246887</v>
      </c>
      <c r="I110" s="8">
        <f xml:space="preserve"> SUM($C109:H109)</f>
        <v>2.6296536652692541</v>
      </c>
      <c r="J110" s="8">
        <f xml:space="preserve"> SUM($C109:I109)</f>
        <v>4.5739309149011866</v>
      </c>
      <c r="K110" s="8">
        <f xml:space="preserve"> SUM($C109:J109)</f>
        <v>7.0125232713646675</v>
      </c>
      <c r="L110" s="8">
        <f xml:space="preserve"> SUM($C109:K109)</f>
        <v>9.9520273701985502</v>
      </c>
      <c r="M110" s="8">
        <f xml:space="preserve"> SUM($C109:L109)</f>
        <v>14.417842041152074</v>
      </c>
      <c r="N110" s="8">
        <f xml:space="preserve"> SUM($C109:M109)</f>
        <v>19.544247272660741</v>
      </c>
      <c r="O110" s="8">
        <f xml:space="preserve"> SUM($C109:N109)</f>
        <v>25.296174505830656</v>
      </c>
      <c r="P110" s="8">
        <f xml:space="preserve"> SUM($C109:O109)</f>
        <v>30.208768269591481</v>
      </c>
      <c r="Q110" s="8">
        <f xml:space="preserve"> SUM($C109:P109)</f>
        <v>35.600398487906524</v>
      </c>
      <c r="R110" s="8">
        <f xml:space="preserve"> SUM($C109:Q109)</f>
        <v>41.471065160775787</v>
      </c>
      <c r="S110" s="8">
        <f xml:space="preserve"> SUM($C109:R109)</f>
        <v>46.684777656303254</v>
      </c>
      <c r="T110" s="8">
        <f xml:space="preserve"> SUM($C109:S109)</f>
        <v>52.289635278120713</v>
      </c>
      <c r="U110" s="8">
        <f xml:space="preserve"> SUM($C109:T109)</f>
        <v>58.28563802622817</v>
      </c>
      <c r="V110" s="8">
        <f xml:space="preserve"> SUM($C109:U109)</f>
        <v>64.327817223107587</v>
      </c>
      <c r="W110" s="8">
        <f xml:space="preserve"> SUM($C109:V109)</f>
        <v>70.416172868758977</v>
      </c>
      <c r="X110" s="8">
        <f xml:space="preserve"> SUM($C109:W109)</f>
        <v>76.550704963182341</v>
      </c>
      <c r="Y110" s="8">
        <f xml:space="preserve"> SUM($C109:X109)</f>
        <v>82.731413506377663</v>
      </c>
      <c r="Z110" s="8">
        <f xml:space="preserve"> SUM($C109:Y109)</f>
        <v>88.958298498344959</v>
      </c>
      <c r="AA110" s="8">
        <f xml:space="preserve"> SUM($C109:Z109)</f>
        <v>95.231359939084214</v>
      </c>
      <c r="AB110" s="8">
        <f xml:space="preserve"> SUM($C109:AA109)</f>
        <v>101.5571944641343</v>
      </c>
      <c r="AC110" s="8">
        <f xml:space="preserve"> SUM($C109:AB109)</f>
        <v>107.92920543795634</v>
      </c>
      <c r="AD110" s="8">
        <f xml:space="preserve"> SUM($C109:AC109)</f>
        <v>114.34739286055036</v>
      </c>
      <c r="AE110" s="8">
        <f xml:space="preserve"> SUM($C109:AD109)</f>
        <v>120.81175673191633</v>
      </c>
      <c r="AF110" s="8">
        <f xml:space="preserve"> SUM($C109:AE109)</f>
        <v>127.32889368759314</v>
      </c>
      <c r="AG110" s="8">
        <f xml:space="preserve"> SUM($C109:AF109)</f>
        <v>133.8922070920419</v>
      </c>
      <c r="AH110" s="8">
        <f xml:space="preserve"> SUM($C109:AG109)</f>
        <v>139.62938029815928</v>
      </c>
      <c r="AI110" s="8">
        <f xml:space="preserve"> SUM($C109:AH109)</f>
        <v>145.40613331750978</v>
      </c>
      <c r="AJ110" s="8">
        <f xml:space="preserve"> SUM($C109:AI109)</f>
        <v>151.22906278563224</v>
      </c>
      <c r="AK110" s="8">
        <f xml:space="preserve"> SUM($C109:AJ109)</f>
        <v>157.09816870252666</v>
      </c>
      <c r="AL110" s="8">
        <f xml:space="preserve"> SUM($C109:AK109)</f>
        <v>163.00685443265422</v>
      </c>
      <c r="AM110" s="8">
        <f xml:space="preserve"> SUM($C109:AL109)</f>
        <v>168.96171661155373</v>
      </c>
      <c r="AN110" s="8">
        <f xml:space="preserve"> SUM($C109:AM109)</f>
        <v>174.9627552392252</v>
      </c>
      <c r="AO110" s="8">
        <f xml:space="preserve"> SUM($C109:AN109)</f>
        <v>181.00997031566865</v>
      </c>
      <c r="AP110" s="8">
        <f xml:space="preserve"> SUM($C109:AO109)</f>
        <v>187.10336184088408</v>
      </c>
      <c r="AQ110" s="8">
        <f xml:space="preserve"> SUM($C109:AP109)</f>
        <v>193.24292981487145</v>
      </c>
      <c r="AR110" s="8">
        <f xml:space="preserve"> SUM($C109:AQ109)</f>
        <v>199.42867423763079</v>
      </c>
      <c r="AS110" s="8">
        <f xml:space="preserve"> SUM($C109:AR109)</f>
        <v>205.6605951091621</v>
      </c>
      <c r="AT110" s="8">
        <f xml:space="preserve"> SUM($C109:AS109)</f>
        <v>211.93869242946539</v>
      </c>
      <c r="AU110" s="8">
        <f xml:space="preserve"> SUM($C109:AT109)</f>
        <v>218.26296619854065</v>
      </c>
      <c r="AV110" s="8">
        <f xml:space="preserve"> SUM($C109:AU109)</f>
        <v>224.63341641638786</v>
      </c>
      <c r="AW110" s="8">
        <f xml:space="preserve"> SUM($C109:AV109)</f>
        <v>231.05663971854591</v>
      </c>
      <c r="AX110" s="8">
        <f xml:space="preserve"> SUM($C109:AW109)</f>
        <v>237.5260394694759</v>
      </c>
      <c r="AY110" s="8">
        <f xml:space="preserve"> SUM($C109:AX109)</f>
        <v>243.74864457496381</v>
      </c>
      <c r="AZ110" s="8">
        <f xml:space="preserve"> SUM($C109:AY109)</f>
        <v>249.73105167054845</v>
      </c>
      <c r="BA110" s="8">
        <f xml:space="preserve"> SUM($C109:AZ109)</f>
        <v>255.46006748515217</v>
      </c>
      <c r="BB110" s="8">
        <f xml:space="preserve"> SUM($C109:BA109)</f>
        <v>260.94228865431376</v>
      </c>
      <c r="BC110" s="8">
        <f xml:space="preserve"> SUM($C109:BB109)</f>
        <v>266.17111854249441</v>
      </c>
      <c r="BD110" s="8">
        <f xml:space="preserve"> SUM($C109:BC109)</f>
        <v>271.1465571496941</v>
      </c>
      <c r="BE110" s="8">
        <f xml:space="preserve"> SUM($C109:BD109)</f>
        <v>275.86860447591283</v>
      </c>
      <c r="BF110" s="8">
        <f xml:space="preserve"> SUM($C109:BE109)</f>
        <v>280.33066388561178</v>
      </c>
      <c r="BG110" s="8">
        <f xml:space="preserve"> SUM($C109:BF109)</f>
        <v>284.5327353787909</v>
      </c>
      <c r="BH110" s="8">
        <f xml:space="preserve"> SUM($C109:BG109)</f>
        <v>288.47481895545025</v>
      </c>
      <c r="BI110" s="8"/>
    </row>
    <row r="111" spans="1:61" s="82" customFormat="1" hidden="1" x14ac:dyDescent="0.2">
      <c r="A111" s="82" t="s">
        <v>522</v>
      </c>
      <c r="B111" s="156"/>
      <c r="C111" s="83">
        <f>C109*'SGSP Summary'!$B$2</f>
        <v>0</v>
      </c>
      <c r="D111" s="83">
        <f>D109*'SGSP Summary'!$B$2</f>
        <v>0</v>
      </c>
      <c r="E111" s="83">
        <f>E109*'SGSP Summary'!$B$2</f>
        <v>0</v>
      </c>
      <c r="F111" s="83">
        <f>F109*'SGSP Summary'!$B$2</f>
        <v>41667518.088073216</v>
      </c>
      <c r="G111" s="83">
        <f>G109*'SGSP Summary'!$B$2</f>
        <v>83335036.176146433</v>
      </c>
      <c r="H111" s="83">
        <f>H109*'SGSP Summary'!$B$2</f>
        <v>153640988.32985562</v>
      </c>
      <c r="I111" s="83">
        <f>I109*'SGSP Summary'!$B$2</f>
        <v>206019639.68781239</v>
      </c>
      <c r="J111" s="83">
        <f>J109*'SGSP Summary'!$B$2</f>
        <v>258398291.04576918</v>
      </c>
      <c r="K111" s="83">
        <f>K109*'SGSP Summary'!$B$2</f>
        <v>311475935.5525291</v>
      </c>
      <c r="L111" s="83">
        <f>L109*'SGSP Summary'!$B$2</f>
        <v>473206961.40252811</v>
      </c>
      <c r="M111" s="83">
        <f>M109*'SGSP Summary'!$B$2</f>
        <v>543204503.82735658</v>
      </c>
      <c r="N111" s="83">
        <f>N109*'SGSP Summary'!$B$2</f>
        <v>609486109.20202553</v>
      </c>
      <c r="O111" s="83">
        <f>O109*'SGSP Summary'!$B$2</f>
        <v>520548598.37206662</v>
      </c>
      <c r="P111" s="83">
        <f>P109*'SGSP Summary'!$B$2</f>
        <v>571308292.1262728</v>
      </c>
      <c r="Q111" s="83">
        <f>Q109*'SGSP Summary'!$B$2</f>
        <v>622067985.88047898</v>
      </c>
      <c r="R111" s="83">
        <f>R109*'SGSP Summary'!$B$2</f>
        <v>552455762.14387846</v>
      </c>
      <c r="S111" s="83">
        <f>S109*'SGSP Summary'!$B$2</f>
        <v>593902308.92580688</v>
      </c>
      <c r="T111" s="83">
        <f>T109*'SGSP Summary'!$B$2</f>
        <v>635348855.7077353</v>
      </c>
      <c r="U111" s="83">
        <f>U109*'SGSP Summary'!$B$2</f>
        <v>640241807.74935603</v>
      </c>
      <c r="V111" s="83">
        <f>V109*'SGSP Summary'!$B$2</f>
        <v>645134759.79097688</v>
      </c>
      <c r="W111" s="83">
        <f>W109*'SGSP Summary'!$B$2</f>
        <v>650027711.83259773</v>
      </c>
      <c r="X111" s="83">
        <f>X109*'SGSP Summary'!$B$2</f>
        <v>654920663.87421834</v>
      </c>
      <c r="Y111" s="83">
        <f>Y109*'SGSP Summary'!$B$2</f>
        <v>659813615.9158392</v>
      </c>
      <c r="Z111" s="83">
        <f>Z109*'SGSP Summary'!$B$2</f>
        <v>664706567.95745993</v>
      </c>
      <c r="AA111" s="83">
        <f>AA109*'SGSP Summary'!$B$2</f>
        <v>670298513.14788365</v>
      </c>
      <c r="AB111" s="83">
        <f>AB109*'SGSP Summary'!$B$2</f>
        <v>675191465.1895045</v>
      </c>
      <c r="AC111" s="83">
        <f>AC109*'SGSP Summary'!$B$2</f>
        <v>680084417.23112524</v>
      </c>
      <c r="AD111" s="83">
        <f>AD109*'SGSP Summary'!$B$2</f>
        <v>684977369.27274609</v>
      </c>
      <c r="AE111" s="83">
        <f>AE109*'SGSP Summary'!$B$2</f>
        <v>690569314.46316981</v>
      </c>
      <c r="AF111" s="83">
        <f>AF109*'SGSP Summary'!$B$2</f>
        <v>695462266.50479066</v>
      </c>
      <c r="AG111" s="83">
        <f>AG109*'SGSP Summary'!$B$2</f>
        <v>607922741.97243786</v>
      </c>
      <c r="AH111" s="83">
        <f>AH109*'SGSP Summary'!$B$2</f>
        <v>612116700.86525559</v>
      </c>
      <c r="AI111" s="83">
        <f>AI109*'SGSP Summary'!$B$2</f>
        <v>617009652.90687644</v>
      </c>
      <c r="AJ111" s="83">
        <f>AJ109*'SGSP Summary'!$B$2</f>
        <v>621902604.94849718</v>
      </c>
      <c r="AK111" s="83">
        <f>AK109*'SGSP Summary'!$B$2</f>
        <v>626096563.84131503</v>
      </c>
      <c r="AL111" s="83">
        <f>AL109*'SGSP Summary'!$B$2</f>
        <v>630989515.88293588</v>
      </c>
      <c r="AM111" s="83">
        <f>AM109*'SGSP Summary'!$B$2</f>
        <v>635882467.92455649</v>
      </c>
      <c r="AN111" s="83">
        <f>AN109*'SGSP Summary'!$B$2</f>
        <v>640775419.96617734</v>
      </c>
      <c r="AO111" s="83">
        <f>AO109*'SGSP Summary'!$B$2</f>
        <v>645668372.00779819</v>
      </c>
      <c r="AP111" s="83">
        <f>AP109*'SGSP Summary'!$B$2</f>
        <v>650561324.04941893</v>
      </c>
      <c r="AQ111" s="83">
        <f>AQ109*'SGSP Summary'!$B$2</f>
        <v>655454276.09103966</v>
      </c>
      <c r="AR111" s="83">
        <f>AR109*'SGSP Summary'!$B$2</f>
        <v>660347228.13266039</v>
      </c>
      <c r="AS111" s="83">
        <f>AS109*'SGSP Summary'!$B$2</f>
        <v>665240180.17428136</v>
      </c>
      <c r="AT111" s="83">
        <f>AT109*'SGSP Summary'!$B$2</f>
        <v>670133132.21590209</v>
      </c>
      <c r="AU111" s="83">
        <f>AU109*'SGSP Summary'!$B$2</f>
        <v>675026084.25752282</v>
      </c>
      <c r="AV111" s="83">
        <f>AV109*'SGSP Summary'!$B$2</f>
        <v>680618029.44794655</v>
      </c>
      <c r="AW111" s="83">
        <f>AW109*'SGSP Summary'!$B$2</f>
        <v>685510981.4895674</v>
      </c>
      <c r="AX111" s="83">
        <f>AX109*'SGSP Summary'!$B$2</f>
        <v>659360110.29026282</v>
      </c>
      <c r="AY111" s="83">
        <f>AY109*'SGSP Summary'!$B$2</f>
        <v>633908232.23976099</v>
      </c>
      <c r="AZ111" s="83">
        <f>AZ109*'SGSP Summary'!$B$2</f>
        <v>607058367.89165318</v>
      </c>
      <c r="BA111" s="83">
        <f>BA109*'SGSP Summary'!$B$2</f>
        <v>580907496.69234848</v>
      </c>
      <c r="BB111" s="83">
        <f>BB109*'SGSP Summary'!$B$2</f>
        <v>554057632.34424078</v>
      </c>
      <c r="BC111" s="83">
        <f>BC109*'SGSP Summary'!$B$2</f>
        <v>527207767.99613315</v>
      </c>
      <c r="BD111" s="83">
        <f>BD109*'SGSP Summary'!$B$2</f>
        <v>500357903.64802545</v>
      </c>
      <c r="BE111" s="83">
        <f>BE109*'SGSP Summary'!$B$2</f>
        <v>472809046.15111476</v>
      </c>
      <c r="BF111" s="83">
        <f>BF109*'SGSP Summary'!$B$2</f>
        <v>445260188.65420407</v>
      </c>
      <c r="BG111" s="83">
        <f>BG109*'SGSP Summary'!$B$2</f>
        <v>417711331.15729332</v>
      </c>
      <c r="BH111" s="83">
        <f>BH109*'SGSP Summary'!$B$2</f>
        <v>390162473.66038269</v>
      </c>
      <c r="BI111" s="83"/>
    </row>
    <row r="112" spans="1:61" s="82" customFormat="1" hidden="1" x14ac:dyDescent="0.2">
      <c r="A112" s="82" t="s">
        <v>523</v>
      </c>
      <c r="B112" s="156"/>
      <c r="C112" s="83">
        <f>C110*'SGSP Summary'!$B$9</f>
        <v>0</v>
      </c>
      <c r="D112" s="83">
        <f>D110*'SGSP Summary'!$B$9</f>
        <v>0</v>
      </c>
      <c r="E112" s="83">
        <f>E110*'SGSP Summary'!$B$9</f>
        <v>0</v>
      </c>
      <c r="F112" s="83">
        <f>F110*'SGSP Summary'!$B$9</f>
        <v>0</v>
      </c>
      <c r="G112" s="83">
        <f>G110*'SGSP Summary'!$B$9</f>
        <v>972138.02341018454</v>
      </c>
      <c r="H112" s="83">
        <f>H110*'SGSP Summary'!$B$9</f>
        <v>2916414.0702305539</v>
      </c>
      <c r="I112" s="83">
        <f>I110*'SGSP Summary'!$B$9</f>
        <v>6500986.7436993262</v>
      </c>
      <c r="J112" s="83">
        <f>J110*'SGSP Summary'!$B$9</f>
        <v>11307597.132310778</v>
      </c>
      <c r="K112" s="83">
        <f>K110*'SGSP Summary'!$B$9</f>
        <v>17336245.236064911</v>
      </c>
      <c r="L112" s="83">
        <f>L110*'SGSP Summary'!$B$9</f>
        <v>24603239.149353579</v>
      </c>
      <c r="M112" s="83">
        <f>M110*'SGSP Summary'!$B$9</f>
        <v>35643553.07324598</v>
      </c>
      <c r="N112" s="83">
        <f>N110*'SGSP Summary'!$B$9</f>
        <v>48316968.167037934</v>
      </c>
      <c r="O112" s="83">
        <f>O110*'SGSP Summary'!$B$9</f>
        <v>62536788.513506271</v>
      </c>
      <c r="P112" s="83">
        <f>P110*'SGSP Summary'!$B$9</f>
        <v>74681622.396837845</v>
      </c>
      <c r="Q112" s="83">
        <f>Q110*'SGSP Summary'!$B$9</f>
        <v>88010722.361264482</v>
      </c>
      <c r="R112" s="83">
        <f>R110*'SGSP Summary'!$B$9</f>
        <v>102524088.40678619</v>
      </c>
      <c r="S112" s="83">
        <f>S110*'SGSP Summary'!$B$9</f>
        <v>115413343.08946058</v>
      </c>
      <c r="T112" s="83">
        <f>T110*'SGSP Summary'!$B$9</f>
        <v>129269580.35028122</v>
      </c>
      <c r="U112" s="83">
        <f>U110*'SGSP Summary'!$B$9</f>
        <v>144092800.18924817</v>
      </c>
      <c r="V112" s="83">
        <f>V110*'SGSP Summary'!$B$9</f>
        <v>159030176.68895805</v>
      </c>
      <c r="W112" s="83">
        <f>W110*'SGSP Summary'!$B$9</f>
        <v>174081709.84941092</v>
      </c>
      <c r="X112" s="83">
        <f>X110*'SGSP Summary'!$B$9</f>
        <v>189247399.67060679</v>
      </c>
      <c r="Y112" s="83">
        <f>Y110*'SGSP Summary'!$B$9</f>
        <v>204527246.15254563</v>
      </c>
      <c r="Z112" s="83">
        <f>Z110*'SGSP Summary'!$B$9</f>
        <v>219921249.29522747</v>
      </c>
      <c r="AA112" s="83">
        <f>AA110*'SGSP Summary'!$B$9</f>
        <v>235429409.09865224</v>
      </c>
      <c r="AB112" s="83">
        <f>AB110*'SGSP Summary'!$B$9</f>
        <v>251068033.65721187</v>
      </c>
      <c r="AC112" s="83">
        <f>AC110*'SGSP Summary'!$B$9</f>
        <v>266820814.87651446</v>
      </c>
      <c r="AD112" s="83">
        <f>AD110*'SGSP Summary'!$B$9</f>
        <v>282687752.75656009</v>
      </c>
      <c r="AE112" s="83">
        <f>AE110*'SGSP Summary'!$B$9</f>
        <v>298668847.29734862</v>
      </c>
      <c r="AF112" s="83">
        <f>AF110*'SGSP Summary'!$B$9</f>
        <v>314780406.59327203</v>
      </c>
      <c r="AG112" s="83">
        <f>AG110*'SGSP Summary'!$B$9</f>
        <v>331006122.54993838</v>
      </c>
      <c r="AH112" s="83">
        <f>AH110*'SGSP Summary'!$B$9</f>
        <v>345189468.23225164</v>
      </c>
      <c r="AI112" s="83">
        <f>AI110*'SGSP Summary'!$B$9</f>
        <v>359470662.48091614</v>
      </c>
      <c r="AJ112" s="83">
        <f>AJ110*'SGSP Summary'!$B$9</f>
        <v>373866013.39032352</v>
      </c>
      <c r="AK112" s="83">
        <f>AK110*'SGSP Summary'!$B$9</f>
        <v>388375520.9604739</v>
      </c>
      <c r="AL112" s="83">
        <f>AL110*'SGSP Summary'!$B$9</f>
        <v>402982877.09697545</v>
      </c>
      <c r="AM112" s="83">
        <f>AM110*'SGSP Summary'!$B$9</f>
        <v>417704389.89421993</v>
      </c>
      <c r="AN112" s="83">
        <f>AN110*'SGSP Summary'!$B$9</f>
        <v>432540059.35220742</v>
      </c>
      <c r="AO112" s="83">
        <f>AO110*'SGSP Summary'!$B$9</f>
        <v>447489885.47093785</v>
      </c>
      <c r="AP112" s="83">
        <f>AP110*'SGSP Summary'!$B$9</f>
        <v>462553868.25041133</v>
      </c>
      <c r="AQ112" s="83">
        <f>AQ110*'SGSP Summary'!$B$9</f>
        <v>477732007.69062769</v>
      </c>
      <c r="AR112" s="83">
        <f>AR110*'SGSP Summary'!$B$9</f>
        <v>493024303.79158705</v>
      </c>
      <c r="AS112" s="83">
        <f>AS110*'SGSP Summary'!$B$9</f>
        <v>508430756.55328941</v>
      </c>
      <c r="AT112" s="83">
        <f>AT110*'SGSP Summary'!$B$9</f>
        <v>523951365.97573477</v>
      </c>
      <c r="AU112" s="83">
        <f>AU110*'SGSP Summary'!$B$9</f>
        <v>539586132.05892313</v>
      </c>
      <c r="AV112" s="83">
        <f>AV110*'SGSP Summary'!$B$9</f>
        <v>555335054.80285442</v>
      </c>
      <c r="AW112" s="83">
        <f>AW110*'SGSP Summary'!$B$9</f>
        <v>571214442.30192053</v>
      </c>
      <c r="AX112" s="83">
        <f>AX110*'SGSP Summary'!$B$9</f>
        <v>587207986.46172965</v>
      </c>
      <c r="AY112" s="83">
        <f>AY110*'SGSP Summary'!$B$9</f>
        <v>602591408.9391191</v>
      </c>
      <c r="AZ112" s="83">
        <f>AZ110*'SGSP Summary'!$B$9</f>
        <v>617381017.82848072</v>
      </c>
      <c r="BA112" s="83">
        <f>BA110*'SGSP Summary'!$B$9</f>
        <v>631544196.94103086</v>
      </c>
      <c r="BB112" s="83">
        <f>BB110*'SGSP Summary'!$B$9</f>
        <v>645097254.37116134</v>
      </c>
      <c r="BC112" s="83">
        <f>BC110*'SGSP Summary'!$B$9</f>
        <v>658023882.02448034</v>
      </c>
      <c r="BD112" s="83">
        <f>BD110*'SGSP Summary'!$B$9</f>
        <v>670324079.90098786</v>
      </c>
      <c r="BE112" s="83">
        <f>BE110*'SGSP Summary'!$B$9</f>
        <v>681997848.0006839</v>
      </c>
      <c r="BF112" s="83">
        <f>BF110*'SGSP Summary'!$B$9</f>
        <v>693028878.22917652</v>
      </c>
      <c r="BG112" s="83">
        <f>BG110*'SGSP Summary'!$B$9</f>
        <v>703417170.58646584</v>
      </c>
      <c r="BH112" s="83">
        <f>BH110*'SGSP Summary'!$B$9</f>
        <v>713162725.07255173</v>
      </c>
      <c r="BI112" s="83"/>
    </row>
    <row r="113" spans="1:61" x14ac:dyDescent="0.2">
      <c r="A113" t="s">
        <v>524</v>
      </c>
      <c r="B113" s="31"/>
      <c r="C113" s="5">
        <f>C110*'SGSP Summary'!$B$4</f>
        <v>0</v>
      </c>
      <c r="D113" s="5">
        <f>D110*'SGSP Summary'!$B$4</f>
        <v>0</v>
      </c>
      <c r="E113" s="5">
        <f>E110*'SGSP Summary'!$B$4</f>
        <v>0</v>
      </c>
      <c r="F113" s="5">
        <f>F110*'SGSP Summary'!$B$4</f>
        <v>0</v>
      </c>
      <c r="G113" s="5">
        <f>G110*'SGSP Summary'!$B$4</f>
        <v>32298.189066680046</v>
      </c>
      <c r="H113" s="5">
        <f>H110*'SGSP Summary'!$B$4</f>
        <v>96894.567200040139</v>
      </c>
      <c r="I113" s="5">
        <f>I110*'SGSP Summary'!$B$4</f>
        <v>215987.9501795668</v>
      </c>
      <c r="J113" s="5">
        <f>J110*'SGSP Summary'!$B$4</f>
        <v>375682.15754803742</v>
      </c>
      <c r="K113" s="5">
        <f>K110*'SGSP Summary'!$B$4</f>
        <v>575977.18930545193</v>
      </c>
      <c r="L113" s="5">
        <f>L110*'SGSP Summary'!$B$4</f>
        <v>817414.86348927149</v>
      </c>
      <c r="M113" s="5">
        <f>M110*'SGSP Summary'!$B$4</f>
        <v>1184216.8379851507</v>
      </c>
      <c r="N113" s="5">
        <f>N110*'SGSP Summary'!$B$4</f>
        <v>1605276.7563945935</v>
      </c>
      <c r="O113" s="5">
        <f>O110*'SGSP Summary'!$B$4</f>
        <v>2077714.2446777481</v>
      </c>
      <c r="P113" s="5">
        <f>P110*'SGSP Summary'!$B$4</f>
        <v>2481212.6487122504</v>
      </c>
      <c r="Q113" s="5">
        <f>Q110*'SGSP Summary'!$B$4</f>
        <v>2924056.9572082283</v>
      </c>
      <c r="R113" s="5">
        <f>R110*'SGSP Summary'!$B$4</f>
        <v>3406247.1701656817</v>
      </c>
      <c r="S113" s="5">
        <f>S110*'SGSP Summary'!$B$4</f>
        <v>3834478.1154066278</v>
      </c>
      <c r="T113" s="5">
        <f>T110*'SGSP Summary'!$B$4</f>
        <v>4294835.965861707</v>
      </c>
      <c r="U113" s="5">
        <f>U110*'SGSP Summary'!$B$4</f>
        <v>4787320.7215309199</v>
      </c>
      <c r="V113" s="5">
        <f>V110*'SGSP Summary'!$B$4</f>
        <v>5283598.2034623604</v>
      </c>
      <c r="W113" s="5">
        <f>W110*'SGSP Summary'!$B$4</f>
        <v>5783668.4116560277</v>
      </c>
      <c r="X113" s="5">
        <f>X110*'SGSP Summary'!$B$4</f>
        <v>6287531.3461119225</v>
      </c>
      <c r="Y113" s="5">
        <f>Y110*'SGSP Summary'!$B$4</f>
        <v>6795187.006830045</v>
      </c>
      <c r="Z113" s="5">
        <f>Z110*'SGSP Summary'!$B$4</f>
        <v>7306635.3938103942</v>
      </c>
      <c r="AA113" s="5">
        <f>AA110*'SGSP Summary'!$B$4</f>
        <v>7821876.5070529711</v>
      </c>
      <c r="AB113" s="5">
        <f>AB110*'SGSP Summary'!$B$4</f>
        <v>8341452.1645952361</v>
      </c>
      <c r="AC113" s="5">
        <f>AC110*'SGSP Summary'!$B$4</f>
        <v>8864820.5483997278</v>
      </c>
      <c r="AD113" s="5">
        <f>AD110*'SGSP Summary'!$B$4</f>
        <v>9391981.658466449</v>
      </c>
      <c r="AE113" s="5">
        <f>AE110*'SGSP Summary'!$B$4</f>
        <v>9922935.4947953951</v>
      </c>
      <c r="AF113" s="5">
        <f>AF110*'SGSP Summary'!$B$4</f>
        <v>10458223.875424031</v>
      </c>
      <c r="AG113" s="5">
        <f>AG110*'SGSP Summary'!$B$4</f>
        <v>10997304.982314892</v>
      </c>
      <c r="AH113" s="5">
        <f>AH110*'SGSP Summary'!$B$4</f>
        <v>11468530.641032025</v>
      </c>
      <c r="AI113" s="5">
        <f>AI110*'SGSP Summary'!$B$4</f>
        <v>11943007.207973925</v>
      </c>
      <c r="AJ113" s="5">
        <f>AJ110*'SGSP Summary'!$B$4</f>
        <v>12421276.50117805</v>
      </c>
      <c r="AK113" s="5">
        <f>AK110*'SGSP Summary'!$B$4</f>
        <v>12903338.520644404</v>
      </c>
      <c r="AL113" s="5">
        <f>AL110*'SGSP Summary'!$B$4</f>
        <v>13388651.448335525</v>
      </c>
      <c r="AM113" s="5">
        <f>AM110*'SGSP Summary'!$B$4</f>
        <v>13877757.10228887</v>
      </c>
      <c r="AN113" s="5">
        <f>AN110*'SGSP Summary'!$B$4</f>
        <v>14370655.482504444</v>
      </c>
      <c r="AO113" s="5">
        <f>AO110*'SGSP Summary'!$B$4</f>
        <v>14867346.588982247</v>
      </c>
      <c r="AP113" s="5">
        <f>AP110*'SGSP Summary'!$B$4</f>
        <v>15367830.421722276</v>
      </c>
      <c r="AQ113" s="5">
        <f>AQ110*'SGSP Summary'!$B$4</f>
        <v>15872106.980724532</v>
      </c>
      <c r="AR113" s="5">
        <f>AR110*'SGSP Summary'!$B$4</f>
        <v>16380176.265989015</v>
      </c>
      <c r="AS113" s="5">
        <f>AS110*'SGSP Summary'!$B$4</f>
        <v>16892038.277515724</v>
      </c>
      <c r="AT113" s="5">
        <f>AT110*'SGSP Summary'!$B$4</f>
        <v>17407693.015304666</v>
      </c>
      <c r="AU113" s="5">
        <f>AU110*'SGSP Summary'!$B$4</f>
        <v>17927140.479355831</v>
      </c>
      <c r="AV113" s="5">
        <f>AV110*'SGSP Summary'!$B$4</f>
        <v>18450380.669669222</v>
      </c>
      <c r="AW113" s="5">
        <f>AW110*'SGSP Summary'!$B$4</f>
        <v>18977955.404282305</v>
      </c>
      <c r="AX113" s="5">
        <f>AX110*'SGSP Summary'!$B$4</f>
        <v>19509322.865157612</v>
      </c>
      <c r="AY113" s="5">
        <f>AY110*'SGSP Summary'!$B$4</f>
        <v>20020419.721470676</v>
      </c>
      <c r="AZ113" s="5">
        <f>AZ110*'SGSP Summary'!$B$4</f>
        <v>20511787.791258954</v>
      </c>
      <c r="BA113" s="5">
        <f>BA110*'SGSP Summary'!$B$4</f>
        <v>20982343.438447528</v>
      </c>
      <c r="BB113" s="5">
        <f>BB110*'SGSP Summary'!$B$4</f>
        <v>21432628.481073853</v>
      </c>
      <c r="BC113" s="5">
        <f>BC110*'SGSP Summary'!$B$4</f>
        <v>21862101.101100475</v>
      </c>
      <c r="BD113" s="5">
        <f>BD110*'SGSP Summary'!$B$4</f>
        <v>22270761.298527386</v>
      </c>
      <c r="BE113" s="5">
        <f>BE110*'SGSP Summary'!$B$4</f>
        <v>22658609.073354594</v>
      </c>
      <c r="BF113" s="5">
        <f>BF110*'SGSP Summary'!$B$4</f>
        <v>23025102.607544634</v>
      </c>
      <c r="BG113" s="5">
        <f>BG110*'SGSP Summary'!$B$4</f>
        <v>23370241.901097506</v>
      </c>
      <c r="BH113" s="5">
        <f>BH110*'SGSP Summary'!$B$4</f>
        <v>23694026.954013214</v>
      </c>
      <c r="BI113" s="5"/>
    </row>
    <row r="114" spans="1:61" x14ac:dyDescent="0.2">
      <c r="A114" t="s">
        <v>666</v>
      </c>
      <c r="B114" s="31"/>
      <c r="C114" s="5">
        <f>C110*'SGSP Summary'!$B$3</f>
        <v>0</v>
      </c>
      <c r="D114" s="5">
        <f>D110*'SGSP Summary'!$B$3</f>
        <v>0</v>
      </c>
      <c r="E114" s="5">
        <f>E110*'SGSP Summary'!$B$3</f>
        <v>0</v>
      </c>
      <c r="F114" s="5">
        <f>F110*'SGSP Summary'!$B$3</f>
        <v>0</v>
      </c>
      <c r="G114" s="5">
        <f>G110*'SGSP Summary'!$B$3</f>
        <v>3.6870078843242062</v>
      </c>
      <c r="H114" s="5">
        <f>H110*'SGSP Summary'!$B$3</f>
        <v>11.06102365297262</v>
      </c>
      <c r="I114" s="5">
        <f>I110*'SGSP Summary'!$B$3</f>
        <v>24.656158696297584</v>
      </c>
      <c r="J114" s="5">
        <f>J110*'SGSP Summary'!$B$3</f>
        <v>42.886091044296506</v>
      </c>
      <c r="K114" s="5">
        <f>K110*'SGSP Summary'!$B$3</f>
        <v>65.750820696969399</v>
      </c>
      <c r="L114" s="5">
        <f>L110*'SGSP Summary'!$B$3</f>
        <v>93.312199028455652</v>
      </c>
      <c r="M114" s="5">
        <f>M110*'SGSP Summary'!$B$3</f>
        <v>135.18457054625009</v>
      </c>
      <c r="N114" s="5">
        <f>N110*'SGSP Summary'!$B$3</f>
        <v>183.25077127792164</v>
      </c>
      <c r="O114" s="5">
        <f>O110*'SGSP Summary'!$B$3</f>
        <v>237.18199140156941</v>
      </c>
      <c r="P114" s="5">
        <f>P110*'SGSP Summary'!$B$3</f>
        <v>283.24345304934366</v>
      </c>
      <c r="Q114" s="5">
        <f>Q110*'SGSP Summary'!$B$3</f>
        <v>333.7964563023092</v>
      </c>
      <c r="R114" s="5">
        <f>R110*'SGSP Summary'!$B$3</f>
        <v>388.84100116046596</v>
      </c>
      <c r="S114" s="5">
        <f>S110*'SGSP Summary'!$B$3</f>
        <v>437.72581226103063</v>
      </c>
      <c r="T114" s="5">
        <f>T110*'SGSP Summary'!$B$3</f>
        <v>490.27807829471544</v>
      </c>
      <c r="U114" s="5">
        <f>U110*'SGSP Summary'!$B$3</f>
        <v>546.49779926152064</v>
      </c>
      <c r="V114" s="5">
        <f>V110*'SGSP Summary'!$B$3</f>
        <v>603.15047984730143</v>
      </c>
      <c r="W114" s="5">
        <f>W110*'SGSP Summary'!$B$3</f>
        <v>660.23612005205803</v>
      </c>
      <c r="X114" s="5">
        <f>X110*'SGSP Summary'!$B$3</f>
        <v>717.75471987579033</v>
      </c>
      <c r="Y114" s="5">
        <f>Y110*'SGSP Summary'!$B$3</f>
        <v>775.70627931849833</v>
      </c>
      <c r="Z114" s="5">
        <f>Z110*'SGSP Summary'!$B$3</f>
        <v>834.09079838018204</v>
      </c>
      <c r="AA114" s="5">
        <f>AA110*'SGSP Summary'!$B$3</f>
        <v>892.90827706084144</v>
      </c>
      <c r="AB114" s="5">
        <f>AB110*'SGSP Summary'!$B$3</f>
        <v>952.22056673461611</v>
      </c>
      <c r="AC114" s="5">
        <f>AC110*'SGSP Summary'!$B$3</f>
        <v>1011.9658160273664</v>
      </c>
      <c r="AD114" s="5">
        <f>AD110*'SGSP Summary'!$B$3</f>
        <v>1072.1440249390923</v>
      </c>
      <c r="AE114" s="5">
        <f>AE110*'SGSP Summary'!$B$3</f>
        <v>1132.755193469794</v>
      </c>
      <c r="AF114" s="5">
        <f>AF110*'SGSP Summary'!$B$3</f>
        <v>1193.8611729936108</v>
      </c>
      <c r="AG114" s="5">
        <f>AG110*'SGSP Summary'!$B$3</f>
        <v>1255.4001121364033</v>
      </c>
      <c r="AH114" s="5">
        <f>AH110*'SGSP Summary'!$B$3</f>
        <v>1309.1929955516011</v>
      </c>
      <c r="AI114" s="5">
        <f>AI110*'SGSP Summary'!$B$3</f>
        <v>1363.3569872116354</v>
      </c>
      <c r="AJ114" s="5">
        <f>AJ110*'SGSP Summary'!$B$3</f>
        <v>1417.953938490645</v>
      </c>
      <c r="AK114" s="5">
        <f>AK110*'SGSP Summary'!$B$3</f>
        <v>1472.9838493886307</v>
      </c>
      <c r="AL114" s="5">
        <f>AL110*'SGSP Summary'!$B$3</f>
        <v>1528.3848685314526</v>
      </c>
      <c r="AM114" s="5">
        <f>AM110*'SGSP Summary'!$B$3</f>
        <v>1584.2188472932501</v>
      </c>
      <c r="AN114" s="5">
        <f>AN110*'SGSP Summary'!$B$3</f>
        <v>1640.4857856740234</v>
      </c>
      <c r="AO114" s="5">
        <f>AO110*'SGSP Summary'!$B$3</f>
        <v>1697.1856836737725</v>
      </c>
      <c r="AP114" s="5">
        <f>AP110*'SGSP Summary'!$B$3</f>
        <v>1754.3185412924975</v>
      </c>
      <c r="AQ114" s="5">
        <f>AQ110*'SGSP Summary'!$B$3</f>
        <v>1811.8843585301977</v>
      </c>
      <c r="AR114" s="5">
        <f>AR110*'SGSP Summary'!$B$3</f>
        <v>1869.8831353868738</v>
      </c>
      <c r="AS114" s="5">
        <f>AS110*'SGSP Summary'!$B$3</f>
        <v>1928.3148718625259</v>
      </c>
      <c r="AT114" s="5">
        <f>AT110*'SGSP Summary'!$B$3</f>
        <v>1987.1795679571535</v>
      </c>
      <c r="AU114" s="5">
        <f>AU110*'SGSP Summary'!$B$3</f>
        <v>2046.477223670757</v>
      </c>
      <c r="AV114" s="5">
        <f>AV110*'SGSP Summary'!$B$3</f>
        <v>2106.2078390033362</v>
      </c>
      <c r="AW114" s="5">
        <f>AW110*'SGSP Summary'!$B$3</f>
        <v>2166.4332653290303</v>
      </c>
      <c r="AX114" s="5">
        <f>AX110*'SGSP Summary'!$B$3</f>
        <v>2227.0916512737003</v>
      </c>
      <c r="AY114" s="5">
        <f>AY110*'SGSP Summary'!$B$3</f>
        <v>2285.4360412637757</v>
      </c>
      <c r="AZ114" s="5">
        <f>AZ110*'SGSP Summary'!$B$3</f>
        <v>2341.5282866733965</v>
      </c>
      <c r="BA114" s="5">
        <f>BA110*'SGSP Summary'!$B$3</f>
        <v>2395.2446847542838</v>
      </c>
      <c r="BB114" s="5">
        <f>BB110*'SGSP Summary'!$B$3</f>
        <v>2446.6470868805768</v>
      </c>
      <c r="BC114" s="5">
        <f>BC110*'SGSP Summary'!$B$3</f>
        <v>2495.6736416781364</v>
      </c>
      <c r="BD114" s="5">
        <f>BD110*'SGSP Summary'!$B$3</f>
        <v>2542.324349146962</v>
      </c>
      <c r="BE114" s="5">
        <f>BE110*'SGSP Summary'!$B$3</f>
        <v>2586.5992092870542</v>
      </c>
      <c r="BF114" s="5">
        <f>BF110*'SGSP Summary'!$B$3</f>
        <v>2628.4363707242733</v>
      </c>
      <c r="BG114" s="5">
        <f>BG110*'SGSP Summary'!$B$3</f>
        <v>2667.8358334586196</v>
      </c>
      <c r="BH114" s="5">
        <f>BH110*'SGSP Summary'!$B$3</f>
        <v>2704.7975974900928</v>
      </c>
      <c r="BI114" s="5"/>
    </row>
    <row r="115" spans="1:61" x14ac:dyDescent="0.2">
      <c r="A115" t="s">
        <v>703</v>
      </c>
      <c r="B115" s="31"/>
      <c r="C115" s="5">
        <v>0</v>
      </c>
      <c r="D115" s="5">
        <f xml:space="preserve"> D114-C114</f>
        <v>0</v>
      </c>
      <c r="E115" s="5">
        <f t="shared" ref="E115:BH115" si="56" xml:space="preserve"> E114-D114</f>
        <v>0</v>
      </c>
      <c r="F115" s="5">
        <f t="shared" si="56"/>
        <v>0</v>
      </c>
      <c r="G115" s="5">
        <f t="shared" si="56"/>
        <v>3.6870078843242062</v>
      </c>
      <c r="H115" s="5">
        <f t="shared" si="56"/>
        <v>7.3740157686484142</v>
      </c>
      <c r="I115" s="5">
        <f t="shared" si="56"/>
        <v>13.595135043324964</v>
      </c>
      <c r="J115" s="5">
        <f t="shared" si="56"/>
        <v>18.229932347998922</v>
      </c>
      <c r="K115" s="5">
        <f t="shared" si="56"/>
        <v>22.864729652672892</v>
      </c>
      <c r="L115" s="5">
        <f t="shared" si="56"/>
        <v>27.561378331486253</v>
      </c>
      <c r="M115" s="5">
        <f t="shared" si="56"/>
        <v>41.872371517794434</v>
      </c>
      <c r="N115" s="5">
        <f t="shared" si="56"/>
        <v>48.066200731671557</v>
      </c>
      <c r="O115" s="5">
        <f t="shared" si="56"/>
        <v>53.931220123647762</v>
      </c>
      <c r="P115" s="5">
        <f t="shared" si="56"/>
        <v>46.061461647774252</v>
      </c>
      <c r="Q115" s="5">
        <f t="shared" si="56"/>
        <v>50.553003252965539</v>
      </c>
      <c r="R115" s="5">
        <f t="shared" si="56"/>
        <v>55.044544858156769</v>
      </c>
      <c r="S115" s="5">
        <f t="shared" si="56"/>
        <v>48.884811100564662</v>
      </c>
      <c r="T115" s="5">
        <f t="shared" si="56"/>
        <v>52.552266033684816</v>
      </c>
      <c r="U115" s="5">
        <f t="shared" si="56"/>
        <v>56.219720966805198</v>
      </c>
      <c r="V115" s="5">
        <f t="shared" si="56"/>
        <v>56.652680585780786</v>
      </c>
      <c r="W115" s="5">
        <f t="shared" si="56"/>
        <v>57.085640204756601</v>
      </c>
      <c r="X115" s="5">
        <f t="shared" si="56"/>
        <v>57.518599823732302</v>
      </c>
      <c r="Y115" s="5">
        <f t="shared" si="56"/>
        <v>57.951559442708003</v>
      </c>
      <c r="Z115" s="5">
        <f t="shared" si="56"/>
        <v>58.384519061683704</v>
      </c>
      <c r="AA115" s="5">
        <f t="shared" si="56"/>
        <v>58.817478680659406</v>
      </c>
      <c r="AB115" s="5">
        <f t="shared" si="56"/>
        <v>59.312289673774671</v>
      </c>
      <c r="AC115" s="5">
        <f t="shared" si="56"/>
        <v>59.745249292750259</v>
      </c>
      <c r="AD115" s="5">
        <f t="shared" si="56"/>
        <v>60.17820891172596</v>
      </c>
      <c r="AE115" s="5">
        <f t="shared" si="56"/>
        <v>60.611168530701661</v>
      </c>
      <c r="AF115" s="5">
        <f t="shared" si="56"/>
        <v>61.105979523816814</v>
      </c>
      <c r="AG115" s="5">
        <f t="shared" si="56"/>
        <v>61.538939142792515</v>
      </c>
      <c r="AH115" s="5">
        <f t="shared" si="56"/>
        <v>53.792883415197821</v>
      </c>
      <c r="AI115" s="5">
        <f t="shared" si="56"/>
        <v>54.163991660034299</v>
      </c>
      <c r="AJ115" s="5">
        <f t="shared" si="56"/>
        <v>54.596951279009545</v>
      </c>
      <c r="AK115" s="5">
        <f t="shared" si="56"/>
        <v>55.029910897985701</v>
      </c>
      <c r="AL115" s="5">
        <f t="shared" si="56"/>
        <v>55.401019142821951</v>
      </c>
      <c r="AM115" s="5">
        <f t="shared" si="56"/>
        <v>55.833978761797425</v>
      </c>
      <c r="AN115" s="5">
        <f t="shared" si="56"/>
        <v>56.266938380773354</v>
      </c>
      <c r="AO115" s="5">
        <f t="shared" si="56"/>
        <v>56.699897999749055</v>
      </c>
      <c r="AP115" s="5">
        <f t="shared" si="56"/>
        <v>57.132857618724984</v>
      </c>
      <c r="AQ115" s="5">
        <f t="shared" si="56"/>
        <v>57.56581723770023</v>
      </c>
      <c r="AR115" s="5">
        <f t="shared" si="56"/>
        <v>57.998776856676159</v>
      </c>
      <c r="AS115" s="5">
        <f t="shared" si="56"/>
        <v>58.431736475652087</v>
      </c>
      <c r="AT115" s="5">
        <f t="shared" si="56"/>
        <v>58.864696094627561</v>
      </c>
      <c r="AU115" s="5">
        <f t="shared" si="56"/>
        <v>59.29765571360349</v>
      </c>
      <c r="AV115" s="5">
        <f t="shared" si="56"/>
        <v>59.730615332579191</v>
      </c>
      <c r="AW115" s="5">
        <f t="shared" si="56"/>
        <v>60.225426325694116</v>
      </c>
      <c r="AX115" s="5">
        <f t="shared" si="56"/>
        <v>60.658385944670044</v>
      </c>
      <c r="AY115" s="5">
        <f t="shared" si="56"/>
        <v>58.344389990075342</v>
      </c>
      <c r="AZ115" s="5">
        <f t="shared" si="56"/>
        <v>56.092245409620773</v>
      </c>
      <c r="BA115" s="5">
        <f t="shared" si="56"/>
        <v>53.716398080887302</v>
      </c>
      <c r="BB115" s="5">
        <f t="shared" si="56"/>
        <v>51.402402126293055</v>
      </c>
      <c r="BC115" s="5">
        <f t="shared" si="56"/>
        <v>49.026554797559584</v>
      </c>
      <c r="BD115" s="5">
        <f t="shared" si="56"/>
        <v>46.650707468825658</v>
      </c>
      <c r="BE115" s="5">
        <f t="shared" si="56"/>
        <v>44.274860140092187</v>
      </c>
      <c r="BF115" s="5">
        <f t="shared" si="56"/>
        <v>41.837161437219038</v>
      </c>
      <c r="BG115" s="5">
        <f t="shared" si="56"/>
        <v>39.399462734346343</v>
      </c>
      <c r="BH115" s="5">
        <f t="shared" si="56"/>
        <v>36.961764031473194</v>
      </c>
      <c r="BI115" s="5"/>
    </row>
    <row r="116" spans="1:61" hidden="1" x14ac:dyDescent="0.2">
      <c r="A116" t="s">
        <v>705</v>
      </c>
      <c r="B116" s="31"/>
      <c r="C116" s="103">
        <v>85</v>
      </c>
      <c r="D116" s="10">
        <f xml:space="preserve"> $C116</f>
        <v>85</v>
      </c>
      <c r="E116" s="10">
        <f t="shared" ref="E116:BH116" si="57" xml:space="preserve"> $C116</f>
        <v>85</v>
      </c>
      <c r="F116" s="10">
        <f t="shared" si="57"/>
        <v>85</v>
      </c>
      <c r="G116" s="10">
        <f t="shared" si="57"/>
        <v>85</v>
      </c>
      <c r="H116" s="10">
        <f t="shared" si="57"/>
        <v>85</v>
      </c>
      <c r="I116" s="10">
        <f t="shared" si="57"/>
        <v>85</v>
      </c>
      <c r="J116" s="10">
        <f t="shared" si="57"/>
        <v>85</v>
      </c>
      <c r="K116" s="10">
        <f t="shared" si="57"/>
        <v>85</v>
      </c>
      <c r="L116" s="10">
        <f t="shared" si="57"/>
        <v>85</v>
      </c>
      <c r="M116" s="10">
        <f t="shared" si="57"/>
        <v>85</v>
      </c>
      <c r="N116" s="10">
        <f t="shared" si="57"/>
        <v>85</v>
      </c>
      <c r="O116" s="10">
        <f t="shared" si="57"/>
        <v>85</v>
      </c>
      <c r="P116" s="10">
        <f t="shared" si="57"/>
        <v>85</v>
      </c>
      <c r="Q116" s="10">
        <f t="shared" si="57"/>
        <v>85</v>
      </c>
      <c r="R116" s="10">
        <f t="shared" si="57"/>
        <v>85</v>
      </c>
      <c r="S116" s="10">
        <f t="shared" si="57"/>
        <v>85</v>
      </c>
      <c r="T116" s="10">
        <f t="shared" si="57"/>
        <v>85</v>
      </c>
      <c r="U116" s="10">
        <f t="shared" si="57"/>
        <v>85</v>
      </c>
      <c r="V116" s="10">
        <f t="shared" si="57"/>
        <v>85</v>
      </c>
      <c r="W116" s="10">
        <f t="shared" si="57"/>
        <v>85</v>
      </c>
      <c r="X116" s="10">
        <f t="shared" si="57"/>
        <v>85</v>
      </c>
      <c r="Y116" s="10">
        <f t="shared" si="57"/>
        <v>85</v>
      </c>
      <c r="Z116" s="10">
        <f t="shared" si="57"/>
        <v>85</v>
      </c>
      <c r="AA116" s="10">
        <f t="shared" si="57"/>
        <v>85</v>
      </c>
      <c r="AB116" s="10">
        <f t="shared" si="57"/>
        <v>85</v>
      </c>
      <c r="AC116" s="10">
        <f t="shared" si="57"/>
        <v>85</v>
      </c>
      <c r="AD116" s="10">
        <f t="shared" si="57"/>
        <v>85</v>
      </c>
      <c r="AE116" s="10">
        <f t="shared" si="57"/>
        <v>85</v>
      </c>
      <c r="AF116" s="10">
        <f t="shared" si="57"/>
        <v>85</v>
      </c>
      <c r="AG116" s="10">
        <f t="shared" si="57"/>
        <v>85</v>
      </c>
      <c r="AH116" s="10">
        <f t="shared" si="57"/>
        <v>85</v>
      </c>
      <c r="AI116" s="10">
        <f t="shared" si="57"/>
        <v>85</v>
      </c>
      <c r="AJ116" s="10">
        <f t="shared" si="57"/>
        <v>85</v>
      </c>
      <c r="AK116" s="10">
        <f t="shared" si="57"/>
        <v>85</v>
      </c>
      <c r="AL116" s="10">
        <f t="shared" si="57"/>
        <v>85</v>
      </c>
      <c r="AM116" s="10">
        <f t="shared" si="57"/>
        <v>85</v>
      </c>
      <c r="AN116" s="10">
        <f t="shared" si="57"/>
        <v>85</v>
      </c>
      <c r="AO116" s="10">
        <f t="shared" si="57"/>
        <v>85</v>
      </c>
      <c r="AP116" s="10">
        <f t="shared" si="57"/>
        <v>85</v>
      </c>
      <c r="AQ116" s="10">
        <f t="shared" si="57"/>
        <v>85</v>
      </c>
      <c r="AR116" s="10">
        <f t="shared" si="57"/>
        <v>85</v>
      </c>
      <c r="AS116" s="10">
        <f t="shared" si="57"/>
        <v>85</v>
      </c>
      <c r="AT116" s="10">
        <f t="shared" si="57"/>
        <v>85</v>
      </c>
      <c r="AU116" s="10">
        <f t="shared" si="57"/>
        <v>85</v>
      </c>
      <c r="AV116" s="10">
        <f t="shared" si="57"/>
        <v>85</v>
      </c>
      <c r="AW116" s="10">
        <f t="shared" si="57"/>
        <v>85</v>
      </c>
      <c r="AX116" s="10">
        <f t="shared" si="57"/>
        <v>85</v>
      </c>
      <c r="AY116" s="10">
        <f t="shared" si="57"/>
        <v>85</v>
      </c>
      <c r="AZ116" s="10">
        <f t="shared" si="57"/>
        <v>85</v>
      </c>
      <c r="BA116" s="10">
        <f t="shared" si="57"/>
        <v>85</v>
      </c>
      <c r="BB116" s="10">
        <f t="shared" si="57"/>
        <v>85</v>
      </c>
      <c r="BC116" s="10">
        <f t="shared" si="57"/>
        <v>85</v>
      </c>
      <c r="BD116" s="10">
        <f t="shared" si="57"/>
        <v>85</v>
      </c>
      <c r="BE116" s="10">
        <f t="shared" si="57"/>
        <v>85</v>
      </c>
      <c r="BF116" s="10">
        <f t="shared" si="57"/>
        <v>85</v>
      </c>
      <c r="BG116" s="10">
        <f t="shared" si="57"/>
        <v>85</v>
      </c>
      <c r="BH116" s="10">
        <f t="shared" si="57"/>
        <v>85</v>
      </c>
      <c r="BI116" s="10"/>
    </row>
    <row r="117" spans="1:61" s="80" customFormat="1" hidden="1" x14ac:dyDescent="0.2">
      <c r="A117" s="80" t="s">
        <v>525</v>
      </c>
      <c r="B117" s="163"/>
      <c r="C117" s="81">
        <f t="shared" ref="C117:BH117" si="58">C113*C116</f>
        <v>0</v>
      </c>
      <c r="D117" s="81">
        <f t="shared" si="58"/>
        <v>0</v>
      </c>
      <c r="E117" s="81">
        <f t="shared" si="58"/>
        <v>0</v>
      </c>
      <c r="F117" s="81">
        <f t="shared" si="58"/>
        <v>0</v>
      </c>
      <c r="G117" s="81">
        <f t="shared" si="58"/>
        <v>2745346.0706678038</v>
      </c>
      <c r="H117" s="81">
        <f t="shared" si="58"/>
        <v>8236038.2120034117</v>
      </c>
      <c r="I117" s="81">
        <f t="shared" si="58"/>
        <v>18358975.765263177</v>
      </c>
      <c r="J117" s="81">
        <f t="shared" si="58"/>
        <v>31932983.391583182</v>
      </c>
      <c r="K117" s="81">
        <f t="shared" si="58"/>
        <v>48958061.090963416</v>
      </c>
      <c r="L117" s="81">
        <f t="shared" si="58"/>
        <v>69480263.396588072</v>
      </c>
      <c r="M117" s="81">
        <f t="shared" si="58"/>
        <v>100658431.22873782</v>
      </c>
      <c r="N117" s="81">
        <f t="shared" si="58"/>
        <v>136448524.29354045</v>
      </c>
      <c r="O117" s="81">
        <f t="shared" si="58"/>
        <v>176605710.79760858</v>
      </c>
      <c r="P117" s="81">
        <f t="shared" si="58"/>
        <v>210903075.14054129</v>
      </c>
      <c r="Q117" s="81">
        <f t="shared" si="58"/>
        <v>248544841.36269942</v>
      </c>
      <c r="R117" s="81">
        <f t="shared" si="58"/>
        <v>289531009.46408296</v>
      </c>
      <c r="S117" s="81">
        <f t="shared" si="58"/>
        <v>325930639.80956334</v>
      </c>
      <c r="T117" s="81">
        <f t="shared" si="58"/>
        <v>365061057.09824508</v>
      </c>
      <c r="U117" s="81">
        <f t="shared" si="58"/>
        <v>406922261.33012819</v>
      </c>
      <c r="V117" s="81">
        <f t="shared" si="58"/>
        <v>449105847.29430062</v>
      </c>
      <c r="W117" s="81">
        <f t="shared" si="58"/>
        <v>491611814.99076235</v>
      </c>
      <c r="X117" s="81">
        <f t="shared" si="58"/>
        <v>534440164.4195134</v>
      </c>
      <c r="Y117" s="81">
        <f t="shared" si="58"/>
        <v>577590895.58055377</v>
      </c>
      <c r="Z117" s="81">
        <f t="shared" si="58"/>
        <v>621064008.47388351</v>
      </c>
      <c r="AA117" s="81">
        <f t="shared" si="58"/>
        <v>664859503.09950256</v>
      </c>
      <c r="AB117" s="81">
        <f t="shared" si="58"/>
        <v>709023433.9905951</v>
      </c>
      <c r="AC117" s="81">
        <f t="shared" si="58"/>
        <v>753509746.61397684</v>
      </c>
      <c r="AD117" s="81">
        <f t="shared" si="58"/>
        <v>798318440.96964812</v>
      </c>
      <c r="AE117" s="81">
        <f t="shared" si="58"/>
        <v>843449517.0576086</v>
      </c>
      <c r="AF117" s="81">
        <f t="shared" si="58"/>
        <v>888949029.41104269</v>
      </c>
      <c r="AG117" s="81">
        <f t="shared" si="58"/>
        <v>934770923.49676585</v>
      </c>
      <c r="AH117" s="81">
        <f t="shared" si="58"/>
        <v>974825104.48772216</v>
      </c>
      <c r="AI117" s="81">
        <f t="shared" si="58"/>
        <v>1015155612.6777836</v>
      </c>
      <c r="AJ117" s="81">
        <f t="shared" si="58"/>
        <v>1055808502.6001343</v>
      </c>
      <c r="AK117" s="81">
        <f t="shared" si="58"/>
        <v>1096783774.2547743</v>
      </c>
      <c r="AL117" s="81">
        <f t="shared" si="58"/>
        <v>1138035373.1085196</v>
      </c>
      <c r="AM117" s="81">
        <f t="shared" si="58"/>
        <v>1179609353.6945539</v>
      </c>
      <c r="AN117" s="81">
        <f t="shared" si="58"/>
        <v>1221505716.0128777</v>
      </c>
      <c r="AO117" s="81">
        <f t="shared" si="58"/>
        <v>1263724460.0634909</v>
      </c>
      <c r="AP117" s="81">
        <f t="shared" si="58"/>
        <v>1306265585.8463936</v>
      </c>
      <c r="AQ117" s="81">
        <f t="shared" si="58"/>
        <v>1349129093.3615851</v>
      </c>
      <c r="AR117" s="81">
        <f t="shared" si="58"/>
        <v>1392314982.6090662</v>
      </c>
      <c r="AS117" s="81">
        <f t="shared" si="58"/>
        <v>1435823253.5888367</v>
      </c>
      <c r="AT117" s="81">
        <f t="shared" si="58"/>
        <v>1479653906.3008966</v>
      </c>
      <c r="AU117" s="81">
        <f t="shared" si="58"/>
        <v>1523806940.7452457</v>
      </c>
      <c r="AV117" s="81">
        <f t="shared" si="58"/>
        <v>1568282356.9218838</v>
      </c>
      <c r="AW117" s="81">
        <f t="shared" si="58"/>
        <v>1613126209.363996</v>
      </c>
      <c r="AX117" s="81">
        <f t="shared" si="58"/>
        <v>1658292443.5383971</v>
      </c>
      <c r="AY117" s="81">
        <f t="shared" si="58"/>
        <v>1701735676.3250074</v>
      </c>
      <c r="AZ117" s="81">
        <f t="shared" si="58"/>
        <v>1743501962.2570109</v>
      </c>
      <c r="BA117" s="81">
        <f t="shared" si="58"/>
        <v>1783499192.2680399</v>
      </c>
      <c r="BB117" s="81">
        <f t="shared" si="58"/>
        <v>1821773420.8912776</v>
      </c>
      <c r="BC117" s="81">
        <f t="shared" si="58"/>
        <v>1858278593.5935404</v>
      </c>
      <c r="BD117" s="81">
        <f t="shared" si="58"/>
        <v>1893014710.3748279</v>
      </c>
      <c r="BE117" s="81">
        <f t="shared" si="58"/>
        <v>1925981771.2351406</v>
      </c>
      <c r="BF117" s="81">
        <f t="shared" si="58"/>
        <v>1957133721.641294</v>
      </c>
      <c r="BG117" s="81">
        <f t="shared" si="58"/>
        <v>1986470561.5932879</v>
      </c>
      <c r="BH117" s="81">
        <f t="shared" si="58"/>
        <v>2013992291.0911231</v>
      </c>
      <c r="BI117" s="81"/>
    </row>
    <row r="118" spans="1:61" s="129" customFormat="1" x14ac:dyDescent="0.2">
      <c r="A118" s="129" t="s">
        <v>734</v>
      </c>
      <c r="B118" s="157"/>
      <c r="C118" s="130">
        <f xml:space="preserve"> C$110 * 'SGSP Section Cost low evap.'!$C$55</f>
        <v>0</v>
      </c>
      <c r="D118" s="130">
        <f xml:space="preserve"> D$110 * 'SGSP Section Cost low evap.'!$C$55</f>
        <v>0</v>
      </c>
      <c r="E118" s="130">
        <f xml:space="preserve"> E$110 * 'SGSP Section Cost low evap.'!$C$55</f>
        <v>0</v>
      </c>
      <c r="F118" s="130">
        <f xml:space="preserve"> F$110 * 'SGSP Section Cost low evap.'!$C$55</f>
        <v>0</v>
      </c>
      <c r="G118" s="130">
        <f xml:space="preserve"> G$110 * 'SGSP Section Cost low evap.'!$C$55</f>
        <v>450.2051659185953</v>
      </c>
      <c r="H118" s="130">
        <f xml:space="preserve"> H$110 * 'SGSP Section Cost low evap.'!$C$55</f>
        <v>1350.615497755786</v>
      </c>
      <c r="I118" s="130">
        <f xml:space="preserve"> I$110 * 'SGSP Section Cost low evap.'!$C$55</f>
        <v>3010.6607756322865</v>
      </c>
      <c r="J118" s="130">
        <f xml:space="preserve"> J$110 * 'SGSP Section Cost low evap.'!$C$55</f>
        <v>5236.6418353174704</v>
      </c>
      <c r="K118" s="130">
        <f xml:space="preserve"> K$110 * 'SGSP Section Cost low evap.'!$C$55</f>
        <v>8028.558676811338</v>
      </c>
      <c r="L118" s="130">
        <f xml:space="preserve"> L$110 * 'SGSP Section Cost low evap.'!$C$55</f>
        <v>11393.963713623802</v>
      </c>
      <c r="M118" s="130">
        <f xml:space="preserve"> M$110 * 'SGSP Section Cost low evap.'!$C$55</f>
        <v>16506.824482574651</v>
      </c>
      <c r="N118" s="130">
        <f xml:space="preserve"> N$110 * 'SGSP Section Cost low evap.'!$C$55</f>
        <v>22375.987921981032</v>
      </c>
      <c r="O118" s="130">
        <f xml:space="preserve"> O$110 * 'SGSP Section Cost low evap.'!$C$55</f>
        <v>28961.304434915324</v>
      </c>
      <c r="P118" s="130">
        <f xml:space="preserve"> P$110 * 'SGSP Section Cost low evap.'!$C$55</f>
        <v>34585.677540206401</v>
      </c>
      <c r="Q118" s="130">
        <f xml:space="preserve"> Q$110 * 'SGSP Section Cost low evap.'!$C$55</f>
        <v>40758.49407090828</v>
      </c>
      <c r="R118" s="130">
        <f xml:space="preserve"> R$110 * 'SGSP Section Cost low evap.'!$C$55</f>
        <v>47479.754027020965</v>
      </c>
      <c r="S118" s="130">
        <f xml:space="preserve"> S$110 * 'SGSP Section Cost low evap.'!$C$55</f>
        <v>53448.874566740888</v>
      </c>
      <c r="T118" s="130">
        <f xml:space="preserve"> T$110 * 'SGSP Section Cost low evap.'!$C$55</f>
        <v>59865.812743001326</v>
      </c>
      <c r="U118" s="130">
        <f xml:space="preserve"> U$110 * 'SGSP Section Cost low evap.'!$C$55</f>
        <v>66730.568555802311</v>
      </c>
      <c r="V118" s="130">
        <f xml:space="preserve"> V$110 * 'SGSP Section Cost low evap.'!$C$55</f>
        <v>73648.191263172659</v>
      </c>
      <c r="W118" s="130">
        <f xml:space="preserve"> W$110 * 'SGSP Section Cost low evap.'!$C$55</f>
        <v>80618.680865112387</v>
      </c>
      <c r="X118" s="130">
        <f xml:space="preserve"> X$110 * 'SGSP Section Cost low evap.'!$C$55</f>
        <v>87642.037361621493</v>
      </c>
      <c r="Y118" s="130">
        <f xml:space="preserve"> Y$110 * 'SGSP Section Cost low evap.'!$C$55</f>
        <v>94718.260752699964</v>
      </c>
      <c r="Z118" s="130">
        <f xml:space="preserve"> Z$110 * 'SGSP Section Cost low evap.'!$C$55</f>
        <v>101847.35103834781</v>
      </c>
      <c r="AA118" s="130">
        <f xml:space="preserve"> AA$110 * 'SGSP Section Cost low evap.'!$C$55</f>
        <v>109029.30821856503</v>
      </c>
      <c r="AB118" s="130">
        <f xml:space="preserve"> AB$110 * 'SGSP Section Cost low evap.'!$C$55</f>
        <v>116271.68470686153</v>
      </c>
      <c r="AC118" s="130">
        <f xml:space="preserve"> AC$110 * 'SGSP Section Cost low evap.'!$C$55</f>
        <v>123566.9280897274</v>
      </c>
      <c r="AD118" s="130">
        <f xml:space="preserve"> AD$110 * 'SGSP Section Cost low evap.'!$C$55</f>
        <v>130915.03836716265</v>
      </c>
      <c r="AE118" s="130">
        <f xml:space="preserve"> AE$110 * 'SGSP Section Cost low evap.'!$C$55</f>
        <v>138316.01553916727</v>
      </c>
      <c r="AF118" s="130">
        <f xml:space="preserve"> AF$110 * 'SGSP Section Cost low evap.'!$C$55</f>
        <v>145777.41201925118</v>
      </c>
      <c r="AG118" s="130">
        <f xml:space="preserve"> AG$110 * 'SGSP Section Cost low evap.'!$C$55</f>
        <v>153291.67539390444</v>
      </c>
      <c r="AH118" s="130">
        <f xml:space="preserve"> AH$110 * 'SGSP Section Cost low evap.'!$C$55</f>
        <v>159860.10018793432</v>
      </c>
      <c r="AI118" s="130">
        <f xml:space="preserve"> AI$110 * 'SGSP Section Cost low evap.'!$C$55</f>
        <v>166473.8394630237</v>
      </c>
      <c r="AJ118" s="130">
        <f xml:space="preserve"> AJ$110 * 'SGSP Section Cost low evap.'!$C$55</f>
        <v>173140.44563268239</v>
      </c>
      <c r="AK118" s="130">
        <f xml:space="preserve"> AK$110 * 'SGSP Section Cost low evap.'!$C$55</f>
        <v>179859.91869691049</v>
      </c>
      <c r="AL118" s="130">
        <f xml:space="preserve"> AL$110 * 'SGSP Section Cost low evap.'!$C$55</f>
        <v>186624.70624219804</v>
      </c>
      <c r="AM118" s="130">
        <f xml:space="preserve"> AM$110 * 'SGSP Section Cost low evap.'!$C$55</f>
        <v>193442.36068205498</v>
      </c>
      <c r="AN118" s="130">
        <f xml:space="preserve"> AN$110 * 'SGSP Section Cost low evap.'!$C$55</f>
        <v>200312.88201648128</v>
      </c>
      <c r="AO118" s="130">
        <f xml:space="preserve"> AO$110 * 'SGSP Section Cost low evap.'!$C$55</f>
        <v>207236.27024547695</v>
      </c>
      <c r="AP118" s="130">
        <f xml:space="preserve"> AP$110 * 'SGSP Section Cost low evap.'!$C$55</f>
        <v>214212.52536904201</v>
      </c>
      <c r="AQ118" s="130">
        <f xml:space="preserve"> AQ$110 * 'SGSP Section Cost low evap.'!$C$55</f>
        <v>221241.6473871764</v>
      </c>
      <c r="AR118" s="130">
        <f xml:space="preserve"> AR$110 * 'SGSP Section Cost low evap.'!$C$55</f>
        <v>228323.63629988019</v>
      </c>
      <c r="AS118" s="130">
        <f xml:space="preserve"> AS$110 * 'SGSP Section Cost low evap.'!$C$55</f>
        <v>235458.49210715335</v>
      </c>
      <c r="AT118" s="130">
        <f xml:space="preserve"> AT$110 * 'SGSP Section Cost low evap.'!$C$55</f>
        <v>242646.21480899589</v>
      </c>
      <c r="AU118" s="130">
        <f xml:space="preserve"> AU$110 * 'SGSP Section Cost low evap.'!$C$55</f>
        <v>249886.80440540783</v>
      </c>
      <c r="AV118" s="130">
        <f xml:space="preserve"> AV$110 * 'SGSP Section Cost low evap.'!$C$55</f>
        <v>257180.26089638911</v>
      </c>
      <c r="AW118" s="130">
        <f xml:space="preserve"> AW$110 * 'SGSP Section Cost low evap.'!$C$55</f>
        <v>264534.13669544971</v>
      </c>
      <c r="AX118" s="130">
        <f xml:space="preserve"> AX$110 * 'SGSP Section Cost low evap.'!$C$55</f>
        <v>271940.87938907964</v>
      </c>
      <c r="AY118" s="130">
        <f xml:space="preserve"> AY$110 * 'SGSP Section Cost low evap.'!$C$55</f>
        <v>279065.06968104473</v>
      </c>
      <c r="AZ118" s="130">
        <f xml:space="preserve"> AZ$110 * 'SGSP Section Cost low evap.'!$C$55</f>
        <v>285914.25998485484</v>
      </c>
      <c r="BA118" s="130">
        <f xml:space="preserve"> BA$110 * 'SGSP Section Cost low evap.'!$C$55</f>
        <v>292473.34547349025</v>
      </c>
      <c r="BB118" s="130">
        <f xml:space="preserve"> BB$110 * 'SGSP Section Cost low evap.'!$C$55</f>
        <v>298749.87856046075</v>
      </c>
      <c r="BC118" s="130">
        <f xml:space="preserve"> BC$110 * 'SGSP Section Cost low evap.'!$C$55</f>
        <v>304736.30683225655</v>
      </c>
      <c r="BD118" s="130">
        <f xml:space="preserve"> BD$110 * 'SGSP Section Cost low evap.'!$C$55</f>
        <v>310432.63028887752</v>
      </c>
      <c r="BE118" s="130">
        <f xml:space="preserve"> BE$110 * 'SGSP Section Cost low evap.'!$C$55</f>
        <v>315838.84893032379</v>
      </c>
      <c r="BF118" s="130">
        <f xml:space="preserve"> BF$110 * 'SGSP Section Cost low evap.'!$C$55</f>
        <v>320947.41034308536</v>
      </c>
      <c r="BG118" s="130">
        <f xml:space="preserve"> BG$110 * 'SGSP Section Cost low evap.'!$C$55</f>
        <v>325758.31452716223</v>
      </c>
      <c r="BH118" s="130">
        <f xml:space="preserve"> BH$110 * 'SGSP Section Cost low evap.'!$C$55</f>
        <v>330271.56148255448</v>
      </c>
      <c r="BI118" s="131"/>
    </row>
    <row r="119" spans="1:61" s="113" customFormat="1" x14ac:dyDescent="0.2">
      <c r="A119" s="113" t="s">
        <v>657</v>
      </c>
      <c r="B119" s="164"/>
      <c r="C119" s="115">
        <f xml:space="preserve"> C$110 * 'SGSP Section Cost low evap.'!$C$54</f>
        <v>0</v>
      </c>
      <c r="D119" s="115">
        <f xml:space="preserve"> D$110 * 'SGSP Section Cost low evap.'!$C$54</f>
        <v>0</v>
      </c>
      <c r="E119" s="115">
        <f xml:space="preserve"> E$110 * 'SGSP Section Cost low evap.'!$C$54</f>
        <v>0</v>
      </c>
      <c r="F119" s="115">
        <f xml:space="preserve"> F$110 * 'SGSP Section Cost low evap.'!$C$54</f>
        <v>0</v>
      </c>
      <c r="G119" s="115">
        <f xml:space="preserve"> G$110 * 'SGSP Section Cost low evap.'!$C$54</f>
        <v>334.24593136617978</v>
      </c>
      <c r="H119" s="115">
        <f xml:space="preserve"> H$110 * 'SGSP Section Cost low evap.'!$C$54</f>
        <v>1002.7377940985394</v>
      </c>
      <c r="I119" s="115">
        <f xml:space="preserve"> I$110 * 'SGSP Section Cost low evap.'!$C$54</f>
        <v>2235.2056154788661</v>
      </c>
      <c r="J119" s="115">
        <f xml:space="preserve"> J$110 * 'SGSP Section Cost low evap.'!$C$54</f>
        <v>3887.8412776660089</v>
      </c>
      <c r="K119" s="115">
        <f xml:space="preserve"> K$110 * 'SGSP Section Cost low evap.'!$C$54</f>
        <v>5960.6447806599672</v>
      </c>
      <c r="L119" s="115">
        <f xml:space="preserve"> L$110 * 'SGSP Section Cost low evap.'!$C$54</f>
        <v>8459.223264668768</v>
      </c>
      <c r="M119" s="115">
        <f xml:space="preserve"> M$110 * 'SGSP Section Cost low evap.'!$C$54</f>
        <v>12255.165734979262</v>
      </c>
      <c r="N119" s="115">
        <f xml:space="preserve"> N$110 * 'SGSP Section Cost low evap.'!$C$54</f>
        <v>16612.610181761629</v>
      </c>
      <c r="O119" s="115">
        <f xml:space="preserve"> O$110 * 'SGSP Section Cost low evap.'!$C$54</f>
        <v>21501.748329956059</v>
      </c>
      <c r="P119" s="115">
        <f xml:space="preserve"> P$110 * 'SGSP Section Cost low evap.'!$C$54</f>
        <v>25677.453029152759</v>
      </c>
      <c r="Q119" s="115">
        <f xml:space="preserve"> Q$110 * 'SGSP Section Cost low evap.'!$C$54</f>
        <v>30260.338714720547</v>
      </c>
      <c r="R119" s="115">
        <f xml:space="preserve"> R$110 * 'SGSP Section Cost low evap.'!$C$54</f>
        <v>35250.405386659419</v>
      </c>
      <c r="S119" s="115">
        <f xml:space="preserve"> S$110 * 'SGSP Section Cost low evap.'!$C$54</f>
        <v>39682.061007857767</v>
      </c>
      <c r="T119" s="115">
        <f xml:space="preserve"> T$110 * 'SGSP Section Cost low evap.'!$C$54</f>
        <v>44446.189986402605</v>
      </c>
      <c r="U119" s="115">
        <f xml:space="preserve"> U$110 * 'SGSP Section Cost low evap.'!$C$54</f>
        <v>49542.792322293943</v>
      </c>
      <c r="V119" s="115">
        <f xml:space="preserve"> V$110 * 'SGSP Section Cost low evap.'!$C$54</f>
        <v>54678.644639641447</v>
      </c>
      <c r="W119" s="115">
        <f xml:space="preserve"> W$110 * 'SGSP Section Cost low evap.'!$C$54</f>
        <v>59853.746938445132</v>
      </c>
      <c r="X119" s="115">
        <f xml:space="preserve"> X$110 * 'SGSP Section Cost low evap.'!$C$54</f>
        <v>65068.099218704992</v>
      </c>
      <c r="Y119" s="115">
        <f xml:space="preserve"> Y$110 * 'SGSP Section Cost low evap.'!$C$54</f>
        <v>70321.701480421019</v>
      </c>
      <c r="Z119" s="115">
        <f xml:space="preserve"> Z$110 * 'SGSP Section Cost low evap.'!$C$54</f>
        <v>75614.553723593213</v>
      </c>
      <c r="AA119" s="115">
        <f xml:space="preserve"> AA$110 * 'SGSP Section Cost low evap.'!$C$54</f>
        <v>80946.655948221582</v>
      </c>
      <c r="AB119" s="115">
        <f xml:space="preserve"> AB$110 * 'SGSP Section Cost low evap.'!$C$54</f>
        <v>86323.615294514151</v>
      </c>
      <c r="AC119" s="115">
        <f xml:space="preserve"> AC$110 * 'SGSP Section Cost low evap.'!$C$54</f>
        <v>91739.824622262895</v>
      </c>
      <c r="AD119" s="115">
        <f xml:space="preserve"> AD$110 * 'SGSP Section Cost low evap.'!$C$54</f>
        <v>97195.283931467799</v>
      </c>
      <c r="AE119" s="115">
        <f xml:space="preserve"> AE$110 * 'SGSP Section Cost low evap.'!$C$54</f>
        <v>102689.99322212888</v>
      </c>
      <c r="AF119" s="115">
        <f xml:space="preserve"> AF$110 * 'SGSP Section Cost low evap.'!$C$54</f>
        <v>108229.55963445417</v>
      </c>
      <c r="AG119" s="115">
        <f xml:space="preserve"> AG$110 * 'SGSP Section Cost low evap.'!$C$54</f>
        <v>113808.37602823561</v>
      </c>
      <c r="AH119" s="115">
        <f xml:space="preserve"> AH$110 * 'SGSP Section Cost low evap.'!$C$54</f>
        <v>118684.97325343538</v>
      </c>
      <c r="AI119" s="115">
        <f xml:space="preserve"> AI$110 * 'SGSP Section Cost low evap.'!$C$54</f>
        <v>123595.21331988332</v>
      </c>
      <c r="AJ119" s="115">
        <f xml:space="preserve"> AJ$110 * 'SGSP Section Cost low evap.'!$C$54</f>
        <v>128544.7033677874</v>
      </c>
      <c r="AK119" s="115">
        <f xml:space="preserve"> AK$110 * 'SGSP Section Cost low evap.'!$C$54</f>
        <v>133533.44339714767</v>
      </c>
      <c r="AL119" s="115">
        <f xml:space="preserve"> AL$110 * 'SGSP Section Cost low evap.'!$C$54</f>
        <v>138555.82626775609</v>
      </c>
      <c r="AM119" s="115">
        <f xml:space="preserve"> AM$110 * 'SGSP Section Cost low evap.'!$C$54</f>
        <v>143617.45911982068</v>
      </c>
      <c r="AN119" s="115">
        <f xml:space="preserve"> AN$110 * 'SGSP Section Cost low evap.'!$C$54</f>
        <v>148718.34195334141</v>
      </c>
      <c r="AO119" s="115">
        <f xml:space="preserve"> AO$110 * 'SGSP Section Cost low evap.'!$C$54</f>
        <v>153858.47476831835</v>
      </c>
      <c r="AP119" s="115">
        <f xml:space="preserve"> AP$110 * 'SGSP Section Cost low evap.'!$C$54</f>
        <v>159037.85756475147</v>
      </c>
      <c r="AQ119" s="115">
        <f xml:space="preserve"> AQ$110 * 'SGSP Section Cost low evap.'!$C$54</f>
        <v>164256.49034264073</v>
      </c>
      <c r="AR119" s="115">
        <f xml:space="preserve"> AR$110 * 'SGSP Section Cost low evap.'!$C$54</f>
        <v>169514.37310198616</v>
      </c>
      <c r="AS119" s="115">
        <f xml:space="preserve"> AS$110 * 'SGSP Section Cost low evap.'!$C$54</f>
        <v>174811.5058427878</v>
      </c>
      <c r="AT119" s="115">
        <f xml:space="preserve"> AT$110 * 'SGSP Section Cost low evap.'!$C$54</f>
        <v>180147.88856504558</v>
      </c>
      <c r="AU119" s="115">
        <f xml:space="preserve"> AU$110 * 'SGSP Section Cost low evap.'!$C$54</f>
        <v>185523.52126875956</v>
      </c>
      <c r="AV119" s="115">
        <f xml:space="preserve"> AV$110 * 'SGSP Section Cost low evap.'!$C$54</f>
        <v>190938.40395392969</v>
      </c>
      <c r="AW119" s="115">
        <f xml:space="preserve"> AW$110 * 'SGSP Section Cost low evap.'!$C$54</f>
        <v>196398.14376076401</v>
      </c>
      <c r="AX119" s="115">
        <f xml:space="preserve"> AX$110 * 'SGSP Section Cost low evap.'!$C$54</f>
        <v>201897.13354905453</v>
      </c>
      <c r="AY119" s="115">
        <f xml:space="preserve"> AY$110 * 'SGSP Section Cost low evap.'!$C$54</f>
        <v>207186.34788871923</v>
      </c>
      <c r="AZ119" s="115">
        <f xml:space="preserve"> AZ$110 * 'SGSP Section Cost low evap.'!$C$54</f>
        <v>212271.39391996618</v>
      </c>
      <c r="BA119" s="115">
        <f xml:space="preserve"> BA$110 * 'SGSP Section Cost low evap.'!$C$54</f>
        <v>217141.05736237933</v>
      </c>
      <c r="BB119" s="115">
        <f xml:space="preserve"> BB$110 * 'SGSP Section Cost low evap.'!$C$54</f>
        <v>221800.94535616669</v>
      </c>
      <c r="BC119" s="115">
        <f xml:space="preserve"> BC$110 * 'SGSP Section Cost low evap.'!$C$54</f>
        <v>226245.45076112024</v>
      </c>
      <c r="BD119" s="115">
        <f xml:space="preserve"> BD$110 * 'SGSP Section Cost low evap.'!$C$54</f>
        <v>230474.57357723999</v>
      </c>
      <c r="BE119" s="115">
        <f xml:space="preserve"> BE$110 * 'SGSP Section Cost low evap.'!$C$54</f>
        <v>234488.31380452591</v>
      </c>
      <c r="BF119" s="115">
        <f xml:space="preserve"> BF$110 * 'SGSP Section Cost low evap.'!$C$54</f>
        <v>238281.06430277001</v>
      </c>
      <c r="BG119" s="115">
        <f xml:space="preserve"> BG$110 * 'SGSP Section Cost low evap.'!$C$54</f>
        <v>241852.82507197227</v>
      </c>
      <c r="BH119" s="115">
        <f xml:space="preserve"> BH$110 * 'SGSP Section Cost low evap.'!$C$54</f>
        <v>245203.59611213271</v>
      </c>
      <c r="BI119" s="114"/>
    </row>
    <row r="120" spans="1:61" s="119" customFormat="1" x14ac:dyDescent="0.2">
      <c r="A120" s="128" t="s">
        <v>812</v>
      </c>
      <c r="B120" s="162"/>
      <c r="C120" s="118">
        <f xml:space="preserve"> C118-C119</f>
        <v>0</v>
      </c>
      <c r="D120" s="118">
        <f t="shared" ref="D120:BH120" si="59" xml:space="preserve"> D118-D119</f>
        <v>0</v>
      </c>
      <c r="E120" s="118">
        <f t="shared" si="59"/>
        <v>0</v>
      </c>
      <c r="F120" s="118">
        <f t="shared" si="59"/>
        <v>0</v>
      </c>
      <c r="G120" s="118">
        <f t="shared" si="59"/>
        <v>115.95923455241552</v>
      </c>
      <c r="H120" s="118">
        <f t="shared" si="59"/>
        <v>347.87770365724657</v>
      </c>
      <c r="I120" s="118">
        <f t="shared" si="59"/>
        <v>775.45516015342037</v>
      </c>
      <c r="J120" s="118">
        <f t="shared" si="59"/>
        <v>1348.8005576514615</v>
      </c>
      <c r="K120" s="118">
        <f t="shared" si="59"/>
        <v>2067.9138961513709</v>
      </c>
      <c r="L120" s="118">
        <f t="shared" si="59"/>
        <v>2934.7404489550336</v>
      </c>
      <c r="M120" s="118">
        <f t="shared" si="59"/>
        <v>4251.6587475953893</v>
      </c>
      <c r="N120" s="118">
        <f t="shared" si="59"/>
        <v>5763.3777402194028</v>
      </c>
      <c r="O120" s="118">
        <f t="shared" si="59"/>
        <v>7459.5561049592652</v>
      </c>
      <c r="P120" s="118">
        <f t="shared" si="59"/>
        <v>8908.2245110536423</v>
      </c>
      <c r="Q120" s="118">
        <f t="shared" si="59"/>
        <v>10498.155356187734</v>
      </c>
      <c r="R120" s="118">
        <f t="shared" si="59"/>
        <v>12229.348640361546</v>
      </c>
      <c r="S120" s="118">
        <f t="shared" si="59"/>
        <v>13766.813558883121</v>
      </c>
      <c r="T120" s="118">
        <f t="shared" si="59"/>
        <v>15419.622756598721</v>
      </c>
      <c r="U120" s="118">
        <f t="shared" si="59"/>
        <v>17187.776233508368</v>
      </c>
      <c r="V120" s="118">
        <f t="shared" si="59"/>
        <v>18969.546623531212</v>
      </c>
      <c r="W120" s="118">
        <f t="shared" si="59"/>
        <v>20764.933926667254</v>
      </c>
      <c r="X120" s="118">
        <f t="shared" si="59"/>
        <v>22573.938142916501</v>
      </c>
      <c r="Y120" s="118">
        <f t="shared" si="59"/>
        <v>24396.559272278944</v>
      </c>
      <c r="Z120" s="118">
        <f t="shared" si="59"/>
        <v>26232.7973147546</v>
      </c>
      <c r="AA120" s="118">
        <f t="shared" si="59"/>
        <v>28082.652270343446</v>
      </c>
      <c r="AB120" s="118">
        <f t="shared" si="59"/>
        <v>29948.06941234738</v>
      </c>
      <c r="AC120" s="118">
        <f t="shared" si="59"/>
        <v>31827.103467464505</v>
      </c>
      <c r="AD120" s="118">
        <f t="shared" si="59"/>
        <v>33719.754435694849</v>
      </c>
      <c r="AE120" s="118">
        <f t="shared" si="59"/>
        <v>35626.022317038398</v>
      </c>
      <c r="AF120" s="118">
        <f t="shared" si="59"/>
        <v>37547.852384797006</v>
      </c>
      <c r="AG120" s="118">
        <f t="shared" si="59"/>
        <v>39483.299365668834</v>
      </c>
      <c r="AH120" s="118">
        <f t="shared" si="59"/>
        <v>41175.126934498941</v>
      </c>
      <c r="AI120" s="118">
        <f t="shared" si="59"/>
        <v>42878.626143140384</v>
      </c>
      <c r="AJ120" s="118">
        <f t="shared" si="59"/>
        <v>44595.742264894987</v>
      </c>
      <c r="AK120" s="118">
        <f t="shared" si="59"/>
        <v>46326.475299762824</v>
      </c>
      <c r="AL120" s="118">
        <f t="shared" si="59"/>
        <v>48068.879974441952</v>
      </c>
      <c r="AM120" s="118">
        <f t="shared" si="59"/>
        <v>49824.901562234299</v>
      </c>
      <c r="AN120" s="118">
        <f t="shared" si="59"/>
        <v>51594.540063139866</v>
      </c>
      <c r="AO120" s="118">
        <f t="shared" si="59"/>
        <v>53377.795477158594</v>
      </c>
      <c r="AP120" s="118">
        <f t="shared" si="59"/>
        <v>55174.667804290541</v>
      </c>
      <c r="AQ120" s="118">
        <f t="shared" si="59"/>
        <v>56985.157044535677</v>
      </c>
      <c r="AR120" s="118">
        <f t="shared" si="59"/>
        <v>58809.263197894034</v>
      </c>
      <c r="AS120" s="118">
        <f t="shared" si="59"/>
        <v>60646.986264365551</v>
      </c>
      <c r="AT120" s="118">
        <f t="shared" si="59"/>
        <v>62498.326243950316</v>
      </c>
      <c r="AU120" s="118">
        <f t="shared" si="59"/>
        <v>64363.283136648271</v>
      </c>
      <c r="AV120" s="118">
        <f t="shared" si="59"/>
        <v>66241.856942459417</v>
      </c>
      <c r="AW120" s="118">
        <f t="shared" si="59"/>
        <v>68135.992934685695</v>
      </c>
      <c r="AX120" s="118">
        <f t="shared" si="59"/>
        <v>70043.745840025105</v>
      </c>
      <c r="AY120" s="118">
        <f t="shared" si="59"/>
        <v>71878.721792325494</v>
      </c>
      <c r="AZ120" s="118">
        <f t="shared" si="59"/>
        <v>73642.866064888658</v>
      </c>
      <c r="BA120" s="118">
        <f t="shared" si="59"/>
        <v>75332.288111110916</v>
      </c>
      <c r="BB120" s="118">
        <f t="shared" si="59"/>
        <v>76948.933204294066</v>
      </c>
      <c r="BC120" s="118">
        <f t="shared" si="59"/>
        <v>78490.85607113631</v>
      </c>
      <c r="BD120" s="118">
        <f t="shared" si="59"/>
        <v>79958.056711637531</v>
      </c>
      <c r="BE120" s="118">
        <f t="shared" si="59"/>
        <v>81350.535125797876</v>
      </c>
      <c r="BF120" s="118">
        <f t="shared" si="59"/>
        <v>82666.346040315344</v>
      </c>
      <c r="BG120" s="118">
        <f t="shared" si="59"/>
        <v>83905.489455189963</v>
      </c>
      <c r="BH120" s="118">
        <f t="shared" si="59"/>
        <v>85067.965370421764</v>
      </c>
      <c r="BI120" s="121"/>
    </row>
    <row r="121" spans="1:61" s="119" customFormat="1" hidden="1" x14ac:dyDescent="0.2">
      <c r="A121" s="128" t="s">
        <v>795</v>
      </c>
      <c r="B121" s="192">
        <v>0</v>
      </c>
      <c r="C121" s="197">
        <v>0</v>
      </c>
      <c r="D121" s="125">
        <f xml:space="preserve"> C121 + $B121</f>
        <v>0</v>
      </c>
      <c r="E121" s="125">
        <f t="shared" ref="E121:BH121" si="60" xml:space="preserve"> D121 + $B121</f>
        <v>0</v>
      </c>
      <c r="F121" s="125">
        <f t="shared" si="60"/>
        <v>0</v>
      </c>
      <c r="G121" s="125">
        <f t="shared" si="60"/>
        <v>0</v>
      </c>
      <c r="H121" s="125">
        <f t="shared" si="60"/>
        <v>0</v>
      </c>
      <c r="I121" s="125">
        <f t="shared" si="60"/>
        <v>0</v>
      </c>
      <c r="J121" s="125">
        <f t="shared" si="60"/>
        <v>0</v>
      </c>
      <c r="K121" s="125">
        <f t="shared" si="60"/>
        <v>0</v>
      </c>
      <c r="L121" s="125">
        <f t="shared" si="60"/>
        <v>0</v>
      </c>
      <c r="M121" s="125">
        <f t="shared" si="60"/>
        <v>0</v>
      </c>
      <c r="N121" s="125">
        <f t="shared" si="60"/>
        <v>0</v>
      </c>
      <c r="O121" s="125">
        <f t="shared" si="60"/>
        <v>0</v>
      </c>
      <c r="P121" s="125">
        <f t="shared" si="60"/>
        <v>0</v>
      </c>
      <c r="Q121" s="125">
        <f t="shared" si="60"/>
        <v>0</v>
      </c>
      <c r="R121" s="125">
        <f t="shared" si="60"/>
        <v>0</v>
      </c>
      <c r="S121" s="125">
        <f t="shared" si="60"/>
        <v>0</v>
      </c>
      <c r="T121" s="125">
        <f t="shared" si="60"/>
        <v>0</v>
      </c>
      <c r="U121" s="125">
        <f t="shared" si="60"/>
        <v>0</v>
      </c>
      <c r="V121" s="125">
        <f t="shared" si="60"/>
        <v>0</v>
      </c>
      <c r="W121" s="125">
        <f t="shared" si="60"/>
        <v>0</v>
      </c>
      <c r="X121" s="125">
        <f t="shared" si="60"/>
        <v>0</v>
      </c>
      <c r="Y121" s="125">
        <f t="shared" si="60"/>
        <v>0</v>
      </c>
      <c r="Z121" s="125">
        <f t="shared" si="60"/>
        <v>0</v>
      </c>
      <c r="AA121" s="125">
        <f t="shared" si="60"/>
        <v>0</v>
      </c>
      <c r="AB121" s="125">
        <f t="shared" si="60"/>
        <v>0</v>
      </c>
      <c r="AC121" s="125">
        <f t="shared" si="60"/>
        <v>0</v>
      </c>
      <c r="AD121" s="125">
        <f t="shared" si="60"/>
        <v>0</v>
      </c>
      <c r="AE121" s="125">
        <f t="shared" si="60"/>
        <v>0</v>
      </c>
      <c r="AF121" s="125">
        <f t="shared" si="60"/>
        <v>0</v>
      </c>
      <c r="AG121" s="125">
        <f t="shared" si="60"/>
        <v>0</v>
      </c>
      <c r="AH121" s="125">
        <f t="shared" si="60"/>
        <v>0</v>
      </c>
      <c r="AI121" s="125">
        <f t="shared" si="60"/>
        <v>0</v>
      </c>
      <c r="AJ121" s="125">
        <f t="shared" si="60"/>
        <v>0</v>
      </c>
      <c r="AK121" s="125">
        <f t="shared" si="60"/>
        <v>0</v>
      </c>
      <c r="AL121" s="125">
        <f t="shared" si="60"/>
        <v>0</v>
      </c>
      <c r="AM121" s="125">
        <f t="shared" si="60"/>
        <v>0</v>
      </c>
      <c r="AN121" s="125">
        <f t="shared" si="60"/>
        <v>0</v>
      </c>
      <c r="AO121" s="125">
        <f t="shared" si="60"/>
        <v>0</v>
      </c>
      <c r="AP121" s="125">
        <f t="shared" si="60"/>
        <v>0</v>
      </c>
      <c r="AQ121" s="125">
        <f t="shared" si="60"/>
        <v>0</v>
      </c>
      <c r="AR121" s="125">
        <f t="shared" si="60"/>
        <v>0</v>
      </c>
      <c r="AS121" s="125">
        <f t="shared" si="60"/>
        <v>0</v>
      </c>
      <c r="AT121" s="125">
        <f t="shared" si="60"/>
        <v>0</v>
      </c>
      <c r="AU121" s="125">
        <f t="shared" si="60"/>
        <v>0</v>
      </c>
      <c r="AV121" s="125">
        <f t="shared" si="60"/>
        <v>0</v>
      </c>
      <c r="AW121" s="125">
        <f t="shared" si="60"/>
        <v>0</v>
      </c>
      <c r="AX121" s="125">
        <f t="shared" si="60"/>
        <v>0</v>
      </c>
      <c r="AY121" s="125">
        <f t="shared" si="60"/>
        <v>0</v>
      </c>
      <c r="AZ121" s="125">
        <f t="shared" si="60"/>
        <v>0</v>
      </c>
      <c r="BA121" s="125">
        <f t="shared" si="60"/>
        <v>0</v>
      </c>
      <c r="BB121" s="125">
        <f t="shared" si="60"/>
        <v>0</v>
      </c>
      <c r="BC121" s="125">
        <f t="shared" si="60"/>
        <v>0</v>
      </c>
      <c r="BD121" s="125">
        <f t="shared" si="60"/>
        <v>0</v>
      </c>
      <c r="BE121" s="125">
        <f t="shared" si="60"/>
        <v>0</v>
      </c>
      <c r="BF121" s="125">
        <f t="shared" si="60"/>
        <v>0</v>
      </c>
      <c r="BG121" s="125">
        <f t="shared" si="60"/>
        <v>0</v>
      </c>
      <c r="BH121" s="125">
        <f t="shared" si="60"/>
        <v>0</v>
      </c>
      <c r="BI121" s="120"/>
    </row>
    <row r="122" spans="1:61" s="80" customFormat="1" hidden="1" x14ac:dyDescent="0.2">
      <c r="A122" s="193" t="s">
        <v>797</v>
      </c>
      <c r="B122" s="194"/>
      <c r="C122" s="126">
        <f xml:space="preserve"> C120 * C121</f>
        <v>0</v>
      </c>
      <c r="D122" s="126">
        <f t="shared" ref="D122:H122" si="61" xml:space="preserve"> D120 * D121</f>
        <v>0</v>
      </c>
      <c r="E122" s="126">
        <f t="shared" si="61"/>
        <v>0</v>
      </c>
      <c r="F122" s="126">
        <f t="shared" si="61"/>
        <v>0</v>
      </c>
      <c r="G122" s="126">
        <f t="shared" si="61"/>
        <v>0</v>
      </c>
      <c r="H122" s="126">
        <f t="shared" si="61"/>
        <v>0</v>
      </c>
      <c r="I122" s="126">
        <f xml:space="preserve"> I120 * I121</f>
        <v>0</v>
      </c>
      <c r="J122" s="126">
        <f t="shared" ref="J122:BH122" si="62" xml:space="preserve"> J120 * J121</f>
        <v>0</v>
      </c>
      <c r="K122" s="126">
        <f t="shared" si="62"/>
        <v>0</v>
      </c>
      <c r="L122" s="126">
        <f t="shared" si="62"/>
        <v>0</v>
      </c>
      <c r="M122" s="126">
        <f t="shared" si="62"/>
        <v>0</v>
      </c>
      <c r="N122" s="126">
        <f t="shared" si="62"/>
        <v>0</v>
      </c>
      <c r="O122" s="126">
        <f t="shared" si="62"/>
        <v>0</v>
      </c>
      <c r="P122" s="126">
        <f t="shared" si="62"/>
        <v>0</v>
      </c>
      <c r="Q122" s="126">
        <f t="shared" si="62"/>
        <v>0</v>
      </c>
      <c r="R122" s="126">
        <f t="shared" si="62"/>
        <v>0</v>
      </c>
      <c r="S122" s="126">
        <f t="shared" si="62"/>
        <v>0</v>
      </c>
      <c r="T122" s="126">
        <f t="shared" si="62"/>
        <v>0</v>
      </c>
      <c r="U122" s="126">
        <f t="shared" si="62"/>
        <v>0</v>
      </c>
      <c r="V122" s="126">
        <f t="shared" si="62"/>
        <v>0</v>
      </c>
      <c r="W122" s="126">
        <f t="shared" si="62"/>
        <v>0</v>
      </c>
      <c r="X122" s="126">
        <f t="shared" si="62"/>
        <v>0</v>
      </c>
      <c r="Y122" s="126">
        <f t="shared" si="62"/>
        <v>0</v>
      </c>
      <c r="Z122" s="126">
        <f t="shared" si="62"/>
        <v>0</v>
      </c>
      <c r="AA122" s="126">
        <f t="shared" si="62"/>
        <v>0</v>
      </c>
      <c r="AB122" s="126">
        <f t="shared" si="62"/>
        <v>0</v>
      </c>
      <c r="AC122" s="126">
        <f t="shared" si="62"/>
        <v>0</v>
      </c>
      <c r="AD122" s="126">
        <f t="shared" si="62"/>
        <v>0</v>
      </c>
      <c r="AE122" s="126">
        <f t="shared" si="62"/>
        <v>0</v>
      </c>
      <c r="AF122" s="126">
        <f t="shared" si="62"/>
        <v>0</v>
      </c>
      <c r="AG122" s="126">
        <f t="shared" si="62"/>
        <v>0</v>
      </c>
      <c r="AH122" s="126">
        <f t="shared" si="62"/>
        <v>0</v>
      </c>
      <c r="AI122" s="126">
        <f t="shared" si="62"/>
        <v>0</v>
      </c>
      <c r="AJ122" s="126">
        <f t="shared" si="62"/>
        <v>0</v>
      </c>
      <c r="AK122" s="126">
        <f t="shared" si="62"/>
        <v>0</v>
      </c>
      <c r="AL122" s="126">
        <f t="shared" si="62"/>
        <v>0</v>
      </c>
      <c r="AM122" s="126">
        <f t="shared" si="62"/>
        <v>0</v>
      </c>
      <c r="AN122" s="126">
        <f t="shared" si="62"/>
        <v>0</v>
      </c>
      <c r="AO122" s="126">
        <f t="shared" si="62"/>
        <v>0</v>
      </c>
      <c r="AP122" s="126">
        <f t="shared" si="62"/>
        <v>0</v>
      </c>
      <c r="AQ122" s="126">
        <f t="shared" si="62"/>
        <v>0</v>
      </c>
      <c r="AR122" s="126">
        <f t="shared" si="62"/>
        <v>0</v>
      </c>
      <c r="AS122" s="126">
        <f t="shared" si="62"/>
        <v>0</v>
      </c>
      <c r="AT122" s="126">
        <f t="shared" si="62"/>
        <v>0</v>
      </c>
      <c r="AU122" s="126">
        <f t="shared" si="62"/>
        <v>0</v>
      </c>
      <c r="AV122" s="126">
        <f t="shared" si="62"/>
        <v>0</v>
      </c>
      <c r="AW122" s="126">
        <f t="shared" si="62"/>
        <v>0</v>
      </c>
      <c r="AX122" s="126">
        <f t="shared" si="62"/>
        <v>0</v>
      </c>
      <c r="AY122" s="126">
        <f t="shared" si="62"/>
        <v>0</v>
      </c>
      <c r="AZ122" s="126">
        <f t="shared" si="62"/>
        <v>0</v>
      </c>
      <c r="BA122" s="126">
        <f t="shared" si="62"/>
        <v>0</v>
      </c>
      <c r="BB122" s="126">
        <f t="shared" si="62"/>
        <v>0</v>
      </c>
      <c r="BC122" s="126">
        <f t="shared" si="62"/>
        <v>0</v>
      </c>
      <c r="BD122" s="126">
        <f t="shared" si="62"/>
        <v>0</v>
      </c>
      <c r="BE122" s="126">
        <f t="shared" si="62"/>
        <v>0</v>
      </c>
      <c r="BF122" s="126">
        <f t="shared" si="62"/>
        <v>0</v>
      </c>
      <c r="BG122" s="126">
        <f t="shared" si="62"/>
        <v>0</v>
      </c>
      <c r="BH122" s="126">
        <f t="shared" si="62"/>
        <v>0</v>
      </c>
      <c r="BI122" s="106"/>
    </row>
    <row r="123" spans="1:61" s="113" customFormat="1" x14ac:dyDescent="0.2">
      <c r="A123" s="113" t="s">
        <v>813</v>
      </c>
      <c r="B123" s="204"/>
      <c r="C123" s="115">
        <f xml:space="preserve"> 1.25 * C118</f>
        <v>0</v>
      </c>
      <c r="D123" s="115">
        <f t="shared" ref="D123:BH123" si="63" xml:space="preserve"> 1.25 * D118</f>
        <v>0</v>
      </c>
      <c r="E123" s="115">
        <f t="shared" si="63"/>
        <v>0</v>
      </c>
      <c r="F123" s="115">
        <f t="shared" si="63"/>
        <v>0</v>
      </c>
      <c r="G123" s="115">
        <f t="shared" si="63"/>
        <v>562.75645739824415</v>
      </c>
      <c r="H123" s="115">
        <f t="shared" si="63"/>
        <v>1688.2693721947326</v>
      </c>
      <c r="I123" s="115">
        <f t="shared" si="63"/>
        <v>3763.3259695403581</v>
      </c>
      <c r="J123" s="115">
        <f t="shared" si="63"/>
        <v>6545.802294146838</v>
      </c>
      <c r="K123" s="115">
        <f t="shared" si="63"/>
        <v>10035.698346014173</v>
      </c>
      <c r="L123" s="115">
        <f t="shared" si="63"/>
        <v>14242.454642029752</v>
      </c>
      <c r="M123" s="115">
        <f t="shared" si="63"/>
        <v>20633.530603218314</v>
      </c>
      <c r="N123" s="115">
        <f t="shared" si="63"/>
        <v>27969.984902476288</v>
      </c>
      <c r="O123" s="115">
        <f t="shared" si="63"/>
        <v>36201.630543644154</v>
      </c>
      <c r="P123" s="115">
        <f t="shared" si="63"/>
        <v>43232.096925258003</v>
      </c>
      <c r="Q123" s="115">
        <f t="shared" si="63"/>
        <v>50948.117588635352</v>
      </c>
      <c r="R123" s="115">
        <f t="shared" si="63"/>
        <v>59349.692533776208</v>
      </c>
      <c r="S123" s="115">
        <f t="shared" si="63"/>
        <v>66811.093208426115</v>
      </c>
      <c r="T123" s="115">
        <f t="shared" si="63"/>
        <v>74832.265928751658</v>
      </c>
      <c r="U123" s="115">
        <f t="shared" si="63"/>
        <v>83413.210694752896</v>
      </c>
      <c r="V123" s="115">
        <f t="shared" si="63"/>
        <v>92060.239078965824</v>
      </c>
      <c r="W123" s="115">
        <f t="shared" si="63"/>
        <v>100773.35108139049</v>
      </c>
      <c r="X123" s="115">
        <f t="shared" si="63"/>
        <v>109552.54670202687</v>
      </c>
      <c r="Y123" s="115">
        <f t="shared" si="63"/>
        <v>118397.82594087496</v>
      </c>
      <c r="Z123" s="115">
        <f t="shared" si="63"/>
        <v>127309.18879793477</v>
      </c>
      <c r="AA123" s="115">
        <f t="shared" si="63"/>
        <v>136286.63527320628</v>
      </c>
      <c r="AB123" s="115">
        <f t="shared" si="63"/>
        <v>145339.60588357691</v>
      </c>
      <c r="AC123" s="115">
        <f t="shared" si="63"/>
        <v>154458.66011215924</v>
      </c>
      <c r="AD123" s="115">
        <f t="shared" si="63"/>
        <v>163643.79795895331</v>
      </c>
      <c r="AE123" s="115">
        <f t="shared" si="63"/>
        <v>172895.01942395908</v>
      </c>
      <c r="AF123" s="115">
        <f t="shared" si="63"/>
        <v>182221.76502406396</v>
      </c>
      <c r="AG123" s="115">
        <f t="shared" si="63"/>
        <v>191614.59424238055</v>
      </c>
      <c r="AH123" s="115">
        <f t="shared" si="63"/>
        <v>199825.12523491791</v>
      </c>
      <c r="AI123" s="115">
        <f t="shared" si="63"/>
        <v>208092.29932877963</v>
      </c>
      <c r="AJ123" s="115">
        <f t="shared" si="63"/>
        <v>216425.55704085299</v>
      </c>
      <c r="AK123" s="115">
        <f t="shared" si="63"/>
        <v>224824.89837113812</v>
      </c>
      <c r="AL123" s="115">
        <f t="shared" si="63"/>
        <v>233280.88280274754</v>
      </c>
      <c r="AM123" s="115">
        <f t="shared" si="63"/>
        <v>241802.95085256873</v>
      </c>
      <c r="AN123" s="115">
        <f t="shared" si="63"/>
        <v>250391.10252060159</v>
      </c>
      <c r="AO123" s="115">
        <f t="shared" si="63"/>
        <v>259045.33780684619</v>
      </c>
      <c r="AP123" s="115">
        <f t="shared" si="63"/>
        <v>267765.65671130252</v>
      </c>
      <c r="AQ123" s="115">
        <f t="shared" si="63"/>
        <v>276552.05923397047</v>
      </c>
      <c r="AR123" s="115">
        <f t="shared" si="63"/>
        <v>285404.54537485022</v>
      </c>
      <c r="AS123" s="115">
        <f t="shared" si="63"/>
        <v>294323.1151339417</v>
      </c>
      <c r="AT123" s="115">
        <f t="shared" si="63"/>
        <v>303307.76851124485</v>
      </c>
      <c r="AU123" s="115">
        <f t="shared" si="63"/>
        <v>312358.5055067598</v>
      </c>
      <c r="AV123" s="115">
        <f t="shared" si="63"/>
        <v>321475.32612048637</v>
      </c>
      <c r="AW123" s="115">
        <f t="shared" si="63"/>
        <v>330667.67086931213</v>
      </c>
      <c r="AX123" s="115">
        <f t="shared" si="63"/>
        <v>339926.09923634958</v>
      </c>
      <c r="AY123" s="115">
        <f t="shared" si="63"/>
        <v>348831.33710130589</v>
      </c>
      <c r="AZ123" s="115">
        <f t="shared" si="63"/>
        <v>357392.82498106855</v>
      </c>
      <c r="BA123" s="115">
        <f t="shared" si="63"/>
        <v>365591.6818418628</v>
      </c>
      <c r="BB123" s="115">
        <f t="shared" si="63"/>
        <v>373437.34820057591</v>
      </c>
      <c r="BC123" s="115">
        <f t="shared" si="63"/>
        <v>380920.38354032068</v>
      </c>
      <c r="BD123" s="115">
        <f t="shared" si="63"/>
        <v>388040.78786109691</v>
      </c>
      <c r="BE123" s="115">
        <f t="shared" si="63"/>
        <v>394798.56116290472</v>
      </c>
      <c r="BF123" s="115">
        <f t="shared" si="63"/>
        <v>401184.26292885671</v>
      </c>
      <c r="BG123" s="115">
        <f t="shared" si="63"/>
        <v>407197.89315895282</v>
      </c>
      <c r="BH123" s="115">
        <f t="shared" si="63"/>
        <v>412839.45185319311</v>
      </c>
      <c r="BI123" s="205"/>
    </row>
    <row r="124" spans="1:61" s="104" customFormat="1" x14ac:dyDescent="0.2">
      <c r="A124" s="132"/>
      <c r="B124" s="165"/>
      <c r="C124" s="133"/>
      <c r="D124" s="133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05"/>
    </row>
    <row r="125" spans="1:61" s="119" customFormat="1" x14ac:dyDescent="0.2">
      <c r="A125" s="128" t="s">
        <v>818</v>
      </c>
      <c r="B125" s="162"/>
      <c r="C125" s="118">
        <f t="shared" ref="C125:L125" si="64" xml:space="preserve"> C51 + C120</f>
        <v>0</v>
      </c>
      <c r="D125" s="118">
        <f t="shared" si="64"/>
        <v>0</v>
      </c>
      <c r="E125" s="118">
        <f t="shared" si="64"/>
        <v>0</v>
      </c>
      <c r="F125" s="118">
        <f t="shared" si="64"/>
        <v>21282.577831507697</v>
      </c>
      <c r="G125" s="118">
        <f t="shared" si="64"/>
        <v>42681.114897567808</v>
      </c>
      <c r="H125" s="118">
        <f t="shared" si="64"/>
        <v>64195.611198180341</v>
      </c>
      <c r="I125" s="118">
        <f t="shared" si="64"/>
        <v>85905.766486184206</v>
      </c>
      <c r="J125" s="118">
        <f t="shared" si="64"/>
        <v>107761.68971518993</v>
      </c>
      <c r="K125" s="118">
        <f t="shared" si="64"/>
        <v>129763.38088519755</v>
      </c>
      <c r="L125" s="118">
        <f t="shared" si="64"/>
        <v>151912.78526950892</v>
      </c>
      <c r="M125" s="118">
        <f xml:space="preserve">  M120</f>
        <v>4251.6587475953893</v>
      </c>
      <c r="N125" s="118">
        <f t="shared" ref="N125:BH125" si="65" xml:space="preserve">  N120</f>
        <v>5763.3777402194028</v>
      </c>
      <c r="O125" s="118">
        <f t="shared" si="65"/>
        <v>7459.5561049592652</v>
      </c>
      <c r="P125" s="118">
        <f t="shared" si="65"/>
        <v>8908.2245110536423</v>
      </c>
      <c r="Q125" s="118">
        <f t="shared" si="65"/>
        <v>10498.155356187734</v>
      </c>
      <c r="R125" s="118">
        <f t="shared" si="65"/>
        <v>12229.348640361546</v>
      </c>
      <c r="S125" s="118">
        <f t="shared" si="65"/>
        <v>13766.813558883121</v>
      </c>
      <c r="T125" s="118">
        <f t="shared" si="65"/>
        <v>15419.622756598721</v>
      </c>
      <c r="U125" s="118">
        <f t="shared" si="65"/>
        <v>17187.776233508368</v>
      </c>
      <c r="V125" s="118">
        <f t="shared" si="65"/>
        <v>18969.546623531212</v>
      </c>
      <c r="W125" s="118">
        <f t="shared" si="65"/>
        <v>20764.933926667254</v>
      </c>
      <c r="X125" s="118">
        <f t="shared" si="65"/>
        <v>22573.938142916501</v>
      </c>
      <c r="Y125" s="118">
        <f t="shared" si="65"/>
        <v>24396.559272278944</v>
      </c>
      <c r="Z125" s="118">
        <f t="shared" si="65"/>
        <v>26232.7973147546</v>
      </c>
      <c r="AA125" s="118">
        <f t="shared" si="65"/>
        <v>28082.652270343446</v>
      </c>
      <c r="AB125" s="118">
        <f t="shared" si="65"/>
        <v>29948.06941234738</v>
      </c>
      <c r="AC125" s="118">
        <f t="shared" si="65"/>
        <v>31827.103467464505</v>
      </c>
      <c r="AD125" s="118">
        <f t="shared" si="65"/>
        <v>33719.754435694849</v>
      </c>
      <c r="AE125" s="118">
        <f t="shared" si="65"/>
        <v>35626.022317038398</v>
      </c>
      <c r="AF125" s="118">
        <f t="shared" si="65"/>
        <v>37547.852384797006</v>
      </c>
      <c r="AG125" s="118">
        <f t="shared" si="65"/>
        <v>39483.299365668834</v>
      </c>
      <c r="AH125" s="118">
        <f t="shared" si="65"/>
        <v>41175.126934498941</v>
      </c>
      <c r="AI125" s="118">
        <f t="shared" si="65"/>
        <v>42878.626143140384</v>
      </c>
      <c r="AJ125" s="118">
        <f t="shared" si="65"/>
        <v>44595.742264894987</v>
      </c>
      <c r="AK125" s="118">
        <f t="shared" si="65"/>
        <v>46326.475299762824</v>
      </c>
      <c r="AL125" s="118">
        <f t="shared" si="65"/>
        <v>48068.879974441952</v>
      </c>
      <c r="AM125" s="118">
        <f t="shared" si="65"/>
        <v>49824.901562234299</v>
      </c>
      <c r="AN125" s="118">
        <f t="shared" si="65"/>
        <v>51594.540063139866</v>
      </c>
      <c r="AO125" s="118">
        <f t="shared" si="65"/>
        <v>53377.795477158594</v>
      </c>
      <c r="AP125" s="118">
        <f t="shared" si="65"/>
        <v>55174.667804290541</v>
      </c>
      <c r="AQ125" s="118">
        <f t="shared" si="65"/>
        <v>56985.157044535677</v>
      </c>
      <c r="AR125" s="118">
        <f t="shared" si="65"/>
        <v>58809.263197894034</v>
      </c>
      <c r="AS125" s="118">
        <f t="shared" si="65"/>
        <v>60646.986264365551</v>
      </c>
      <c r="AT125" s="118">
        <f t="shared" si="65"/>
        <v>62498.326243950316</v>
      </c>
      <c r="AU125" s="118">
        <f t="shared" si="65"/>
        <v>64363.283136648271</v>
      </c>
      <c r="AV125" s="118">
        <f t="shared" si="65"/>
        <v>66241.856942459417</v>
      </c>
      <c r="AW125" s="118">
        <f t="shared" si="65"/>
        <v>68135.992934685695</v>
      </c>
      <c r="AX125" s="118">
        <f t="shared" si="65"/>
        <v>70043.745840025105</v>
      </c>
      <c r="AY125" s="118">
        <f t="shared" si="65"/>
        <v>71878.721792325494</v>
      </c>
      <c r="AZ125" s="118">
        <f t="shared" si="65"/>
        <v>73642.866064888658</v>
      </c>
      <c r="BA125" s="118">
        <f t="shared" si="65"/>
        <v>75332.288111110916</v>
      </c>
      <c r="BB125" s="118">
        <f t="shared" si="65"/>
        <v>76948.933204294066</v>
      </c>
      <c r="BC125" s="118">
        <f t="shared" si="65"/>
        <v>78490.85607113631</v>
      </c>
      <c r="BD125" s="118">
        <f t="shared" si="65"/>
        <v>79958.056711637531</v>
      </c>
      <c r="BE125" s="118">
        <f t="shared" si="65"/>
        <v>81350.535125797876</v>
      </c>
      <c r="BF125" s="118">
        <f t="shared" si="65"/>
        <v>82666.346040315344</v>
      </c>
      <c r="BG125" s="118">
        <f t="shared" si="65"/>
        <v>83905.489455189963</v>
      </c>
      <c r="BH125" s="118">
        <f t="shared" si="65"/>
        <v>85067.965370421764</v>
      </c>
      <c r="BI125" s="121"/>
    </row>
    <row r="126" spans="1:61" s="129" customFormat="1" x14ac:dyDescent="0.2">
      <c r="A126" s="134" t="s">
        <v>826</v>
      </c>
      <c r="B126" s="166"/>
      <c r="C126" s="130">
        <f xml:space="preserve"> C120/68*12</f>
        <v>0</v>
      </c>
      <c r="D126" s="130">
        <f t="shared" ref="D126:BH126" si="66" xml:space="preserve"> D120/68*12</f>
        <v>0</v>
      </c>
      <c r="E126" s="130">
        <f t="shared" si="66"/>
        <v>0</v>
      </c>
      <c r="F126" s="130">
        <f t="shared" si="66"/>
        <v>0</v>
      </c>
      <c r="G126" s="130">
        <f t="shared" si="66"/>
        <v>20.46339433277921</v>
      </c>
      <c r="H126" s="130">
        <f t="shared" si="66"/>
        <v>61.390182998337629</v>
      </c>
      <c r="I126" s="130">
        <f t="shared" si="66"/>
        <v>136.84502826236832</v>
      </c>
      <c r="J126" s="130">
        <f t="shared" si="66"/>
        <v>238.02362782084617</v>
      </c>
      <c r="K126" s="130">
        <f t="shared" si="66"/>
        <v>364.92598167377133</v>
      </c>
      <c r="L126" s="130">
        <f t="shared" si="66"/>
        <v>517.89537334500596</v>
      </c>
      <c r="M126" s="130">
        <f t="shared" si="66"/>
        <v>750.29272016389223</v>
      </c>
      <c r="N126" s="130">
        <f t="shared" si="66"/>
        <v>1017.0666600387181</v>
      </c>
      <c r="O126" s="130">
        <f t="shared" si="66"/>
        <v>1316.3922538163411</v>
      </c>
      <c r="P126" s="130">
        <f t="shared" si="66"/>
        <v>1572.0396195977016</v>
      </c>
      <c r="Q126" s="130">
        <f t="shared" si="66"/>
        <v>1852.6156510919529</v>
      </c>
      <c r="R126" s="130">
        <f t="shared" si="66"/>
        <v>2158.1203482990963</v>
      </c>
      <c r="S126" s="130">
        <f t="shared" si="66"/>
        <v>2429.4376868617273</v>
      </c>
      <c r="T126" s="130">
        <f t="shared" si="66"/>
        <v>2721.1098982233038</v>
      </c>
      <c r="U126" s="130">
        <f t="shared" si="66"/>
        <v>3033.1369823838295</v>
      </c>
      <c r="V126" s="130">
        <f t="shared" si="66"/>
        <v>3347.5670512113907</v>
      </c>
      <c r="W126" s="130">
        <f t="shared" si="66"/>
        <v>3664.4001047059865</v>
      </c>
      <c r="X126" s="130">
        <f t="shared" si="66"/>
        <v>3983.6361428676173</v>
      </c>
      <c r="Y126" s="130">
        <f t="shared" si="66"/>
        <v>4305.2751656962846</v>
      </c>
      <c r="Z126" s="130">
        <f t="shared" si="66"/>
        <v>4629.3171731919883</v>
      </c>
      <c r="AA126" s="130">
        <f t="shared" si="66"/>
        <v>4955.7621653547258</v>
      </c>
      <c r="AB126" s="130">
        <f t="shared" si="66"/>
        <v>5284.9534257083615</v>
      </c>
      <c r="AC126" s="130">
        <f t="shared" si="66"/>
        <v>5616.5476707290309</v>
      </c>
      <c r="AD126" s="130">
        <f t="shared" si="66"/>
        <v>5950.5449004167385</v>
      </c>
      <c r="AE126" s="130">
        <f t="shared" si="66"/>
        <v>6286.9451147714826</v>
      </c>
      <c r="AF126" s="130">
        <f t="shared" si="66"/>
        <v>6626.0915973171186</v>
      </c>
      <c r="AG126" s="130">
        <f t="shared" si="66"/>
        <v>6967.6410645297938</v>
      </c>
      <c r="AH126" s="130">
        <f t="shared" si="66"/>
        <v>7266.1988707939308</v>
      </c>
      <c r="AI126" s="130">
        <f t="shared" si="66"/>
        <v>7566.8163782012443</v>
      </c>
      <c r="AJ126" s="130">
        <f t="shared" si="66"/>
        <v>7869.8368702755861</v>
      </c>
      <c r="AK126" s="130">
        <f t="shared" si="66"/>
        <v>8175.2603470169688</v>
      </c>
      <c r="AL126" s="130">
        <f t="shared" si="66"/>
        <v>8482.7435249015216</v>
      </c>
      <c r="AM126" s="130">
        <f t="shared" si="66"/>
        <v>8792.6296874531108</v>
      </c>
      <c r="AN126" s="130">
        <f t="shared" si="66"/>
        <v>9104.9188346717419</v>
      </c>
      <c r="AO126" s="130">
        <f t="shared" si="66"/>
        <v>9419.6109665573986</v>
      </c>
      <c r="AP126" s="130">
        <f t="shared" si="66"/>
        <v>9736.7060831100953</v>
      </c>
      <c r="AQ126" s="130">
        <f t="shared" si="66"/>
        <v>10056.204184329825</v>
      </c>
      <c r="AR126" s="130">
        <f t="shared" si="66"/>
        <v>10378.105270216594</v>
      </c>
      <c r="AS126" s="130">
        <f t="shared" si="66"/>
        <v>10702.409340770391</v>
      </c>
      <c r="AT126" s="130">
        <f t="shared" si="66"/>
        <v>11029.116395991232</v>
      </c>
      <c r="AU126" s="130">
        <f t="shared" si="66"/>
        <v>11358.226435879107</v>
      </c>
      <c r="AV126" s="130">
        <f t="shared" si="66"/>
        <v>11689.739460434015</v>
      </c>
      <c r="AW126" s="130">
        <f t="shared" si="66"/>
        <v>12023.998753179829</v>
      </c>
      <c r="AX126" s="130">
        <f t="shared" si="66"/>
        <v>12360.661030592666</v>
      </c>
      <c r="AY126" s="130">
        <f t="shared" si="66"/>
        <v>12684.480316292735</v>
      </c>
      <c r="AZ126" s="130">
        <f t="shared" si="66"/>
        <v>12995.799893803882</v>
      </c>
      <c r="BA126" s="130">
        <f t="shared" si="66"/>
        <v>13293.933196078397</v>
      </c>
      <c r="BB126" s="130">
        <f t="shared" si="66"/>
        <v>13579.22350664013</v>
      </c>
      <c r="BC126" s="130">
        <f t="shared" si="66"/>
        <v>13851.327541965231</v>
      </c>
      <c r="BD126" s="130">
        <f t="shared" si="66"/>
        <v>14110.245302053681</v>
      </c>
      <c r="BE126" s="130">
        <f t="shared" si="66"/>
        <v>14355.976786905509</v>
      </c>
      <c r="BF126" s="130">
        <f t="shared" si="66"/>
        <v>14588.178712996825</v>
      </c>
      <c r="BG126" s="130">
        <f t="shared" si="66"/>
        <v>14806.85108032764</v>
      </c>
      <c r="BH126" s="130">
        <f t="shared" si="66"/>
        <v>15011.99388889796</v>
      </c>
      <c r="BI126" s="131"/>
    </row>
    <row r="127" spans="1:61" s="151" customFormat="1" x14ac:dyDescent="0.2">
      <c r="A127" s="148" t="s">
        <v>794</v>
      </c>
      <c r="B127" s="167"/>
      <c r="C127" s="149">
        <f t="shared" ref="C127:BH127" si="67" xml:space="preserve"> C31 + C83 + C126 + 640 *  C110</f>
        <v>0</v>
      </c>
      <c r="D127" s="149">
        <f t="shared" si="67"/>
        <v>0</v>
      </c>
      <c r="E127" s="149">
        <f t="shared" si="67"/>
        <v>0</v>
      </c>
      <c r="F127" s="149">
        <f xml:space="preserve"> F31 + F83 + F126 + 640 *  F110</f>
        <v>9.2410358247137996</v>
      </c>
      <c r="G127" s="149">
        <f t="shared" si="67"/>
        <v>290.61299077556572</v>
      </c>
      <c r="H127" s="149">
        <f t="shared" si="67"/>
        <v>844.11586485255589</v>
      </c>
      <c r="I127" s="149">
        <f t="shared" si="67"/>
        <v>1856.7875173335462</v>
      </c>
      <c r="J127" s="149">
        <f t="shared" si="67"/>
        <v>3211.5445924811747</v>
      </c>
      <c r="K127" s="149">
        <f t="shared" si="67"/>
        <v>4908.3870902954422</v>
      </c>
      <c r="L127" s="149">
        <f t="shared" si="67"/>
        <v>6951.8801410450742</v>
      </c>
      <c r="M127" s="149">
        <f t="shared" si="67"/>
        <v>10051.63991309893</v>
      </c>
      <c r="N127" s="149">
        <f t="shared" si="67"/>
        <v>13599.313201139303</v>
      </c>
      <c r="O127" s="149">
        <f t="shared" si="67"/>
        <v>17579.872224145671</v>
      </c>
      <c r="P127" s="149">
        <f t="shared" si="67"/>
        <v>20979.579598733959</v>
      </c>
      <c r="Q127" s="149">
        <f t="shared" si="67"/>
        <v>24710.798969949839</v>
      </c>
      <c r="R127" s="149">
        <f t="shared" si="67"/>
        <v>28773.530337793312</v>
      </c>
      <c r="S127" s="149">
        <f t="shared" si="67"/>
        <v>32388.077663749573</v>
      </c>
      <c r="T127" s="149">
        <f t="shared" si="67"/>
        <v>36274.651311793663</v>
      </c>
      <c r="U127" s="149">
        <f t="shared" si="67"/>
        <v>40436.494645797866</v>
      </c>
      <c r="V127" s="149">
        <f t="shared" si="67"/>
        <v>44649.992926977284</v>
      </c>
      <c r="W127" s="149">
        <f t="shared" si="67"/>
        <v>48895.447120037796</v>
      </c>
      <c r="X127" s="149">
        <f t="shared" si="67"/>
        <v>53172.857224979416</v>
      </c>
      <c r="Y127" s="149">
        <f t="shared" si="67"/>
        <v>57482.223241802116</v>
      </c>
      <c r="Z127" s="149">
        <f t="shared" si="67"/>
        <v>61823.545170505924</v>
      </c>
      <c r="AA127" s="149">
        <f t="shared" si="67"/>
        <v>66181.705908132266</v>
      </c>
      <c r="AB127" s="149">
        <f t="shared" si="67"/>
        <v>70591.50479086698</v>
      </c>
      <c r="AC127" s="149">
        <f t="shared" si="67"/>
        <v>75033.259585482796</v>
      </c>
      <c r="AD127" s="149">
        <f t="shared" si="67"/>
        <v>79506.970291979698</v>
      </c>
      <c r="AE127" s="149">
        <f t="shared" si="67"/>
        <v>84017.21884269327</v>
      </c>
      <c r="AF127" s="149">
        <f t="shared" si="67"/>
        <v>88559.406503221093</v>
      </c>
      <c r="AG127" s="149">
        <f t="shared" si="67"/>
        <v>93138.132007965585</v>
      </c>
      <c r="AH127" s="149">
        <f t="shared" si="67"/>
        <v>97116.273224864184</v>
      </c>
      <c r="AI127" s="149">
        <f t="shared" si="67"/>
        <v>101146.08619100486</v>
      </c>
      <c r="AJ127" s="149">
        <f t="shared" si="67"/>
        <v>105207.85506902658</v>
      </c>
      <c r="AK127" s="149">
        <f t="shared" si="67"/>
        <v>109296.99792659386</v>
      </c>
      <c r="AL127" s="149">
        <f t="shared" si="67"/>
        <v>113418.11349810909</v>
      </c>
      <c r="AM127" s="149">
        <f t="shared" si="67"/>
        <v>117571.18498150539</v>
      </c>
      <c r="AN127" s="149">
        <f t="shared" si="67"/>
        <v>121736.51334148867</v>
      </c>
      <c r="AO127" s="149">
        <f t="shared" si="67"/>
        <v>125953.49664864717</v>
      </c>
      <c r="AP127" s="149">
        <f t="shared" si="67"/>
        <v>130202.43586768676</v>
      </c>
      <c r="AQ127" s="149">
        <f t="shared" si="67"/>
        <v>134483.33099860745</v>
      </c>
      <c r="AR127" s="149">
        <f t="shared" si="67"/>
        <v>138796.18204140922</v>
      </c>
      <c r="AS127" s="149">
        <f t="shared" si="67"/>
        <v>143140.98899609208</v>
      </c>
      <c r="AT127" s="149">
        <f t="shared" si="67"/>
        <v>147517.75186265606</v>
      </c>
      <c r="AU127" s="149">
        <f t="shared" si="67"/>
        <v>151906.77160580701</v>
      </c>
      <c r="AV127" s="149">
        <f t="shared" si="67"/>
        <v>156352.02822846873</v>
      </c>
      <c r="AW127" s="149">
        <f t="shared" si="67"/>
        <v>160829.22396094474</v>
      </c>
      <c r="AX127" s="149">
        <f t="shared" si="67"/>
        <v>165338.37560530182</v>
      </c>
      <c r="AY127" s="149">
        <f t="shared" si="67"/>
        <v>169681.31761719871</v>
      </c>
      <c r="AZ127" s="149">
        <f t="shared" si="67"/>
        <v>173848.86932989751</v>
      </c>
      <c r="BA127" s="149">
        <f t="shared" si="67"/>
        <v>177825.9472445733</v>
      </c>
      <c r="BB127" s="149">
        <f t="shared" si="67"/>
        <v>181647.35069741192</v>
      </c>
      <c r="BC127" s="149">
        <f t="shared" si="67"/>
        <v>185293.39745518609</v>
      </c>
      <c r="BD127" s="149">
        <f t="shared" si="67"/>
        <v>188764.08751789582</v>
      </c>
      <c r="BE127" s="149">
        <f t="shared" si="67"/>
        <v>192054.8389532055</v>
      </c>
      <c r="BF127" s="149">
        <f t="shared" si="67"/>
        <v>195165.66856318203</v>
      </c>
      <c r="BG127" s="149">
        <f t="shared" si="67"/>
        <v>198096.57634782535</v>
      </c>
      <c r="BH127" s="149">
        <f t="shared" si="67"/>
        <v>200827.8632718414</v>
      </c>
      <c r="BI127" s="150"/>
    </row>
    <row r="128" spans="1:61" s="113" customFormat="1" x14ac:dyDescent="0.2">
      <c r="A128" s="203" t="s">
        <v>815</v>
      </c>
      <c r="B128" s="206"/>
      <c r="C128" s="115">
        <f xml:space="preserve"> C55 + C123</f>
        <v>0</v>
      </c>
      <c r="D128" s="115">
        <f t="shared" ref="D128:BH128" si="68" xml:space="preserve"> D55 + D123</f>
        <v>0</v>
      </c>
      <c r="E128" s="115">
        <f t="shared" si="68"/>
        <v>0</v>
      </c>
      <c r="F128" s="115">
        <f xml:space="preserve"> F55 + F123</f>
        <v>25539.093397809236</v>
      </c>
      <c r="G128" s="115">
        <f t="shared" si="68"/>
        <v>51640.943253016718</v>
      </c>
      <c r="H128" s="115">
        <f t="shared" si="68"/>
        <v>81497.936240348587</v>
      </c>
      <c r="I128" s="115">
        <f t="shared" si="68"/>
        <v>110176.21512707883</v>
      </c>
      <c r="J128" s="115">
        <f t="shared" si="68"/>
        <v>139561.91374106996</v>
      </c>
      <c r="K128" s="115">
        <f t="shared" si="68"/>
        <v>169655.03208232188</v>
      </c>
      <c r="L128" s="115">
        <f t="shared" si="68"/>
        <v>212879.8477361016</v>
      </c>
      <c r="M128" s="115">
        <f t="shared" si="68"/>
        <v>247647.69413930044</v>
      </c>
      <c r="N128" s="115">
        <f t="shared" si="68"/>
        <v>283360.91888056864</v>
      </c>
      <c r="O128" s="115">
        <f t="shared" si="68"/>
        <v>302233.85343749035</v>
      </c>
      <c r="P128" s="115">
        <f t="shared" si="68"/>
        <v>335867.54210848885</v>
      </c>
      <c r="Q128" s="115">
        <f t="shared" si="68"/>
        <v>370186.78506125079</v>
      </c>
      <c r="R128" s="115">
        <f t="shared" si="68"/>
        <v>391357.90670529631</v>
      </c>
      <c r="S128" s="115">
        <f t="shared" si="68"/>
        <v>424358.40077775542</v>
      </c>
      <c r="T128" s="115">
        <f t="shared" si="68"/>
        <v>457918.6668958902</v>
      </c>
      <c r="U128" s="115">
        <f t="shared" si="68"/>
        <v>466499.61166189145</v>
      </c>
      <c r="V128" s="115">
        <f t="shared" si="68"/>
        <v>475146.64004610432</v>
      </c>
      <c r="W128" s="115">
        <f t="shared" si="68"/>
        <v>483859.75204852899</v>
      </c>
      <c r="X128" s="115">
        <f t="shared" si="68"/>
        <v>492638.94766916538</v>
      </c>
      <c r="Y128" s="115">
        <f t="shared" si="68"/>
        <v>501484.22690801346</v>
      </c>
      <c r="Z128" s="115">
        <f t="shared" si="68"/>
        <v>510395.58976507327</v>
      </c>
      <c r="AA128" s="115">
        <f t="shared" si="68"/>
        <v>519373.03624034481</v>
      </c>
      <c r="AB128" s="115">
        <f t="shared" si="68"/>
        <v>528426.00685071549</v>
      </c>
      <c r="AC128" s="115">
        <f t="shared" si="68"/>
        <v>537545.0610792978</v>
      </c>
      <c r="AD128" s="115">
        <f t="shared" si="68"/>
        <v>546730.19892609189</v>
      </c>
      <c r="AE128" s="115">
        <f t="shared" si="68"/>
        <v>555981.42039109766</v>
      </c>
      <c r="AF128" s="115">
        <f t="shared" si="68"/>
        <v>565308.16599120246</v>
      </c>
      <c r="AG128" s="115">
        <f t="shared" si="68"/>
        <v>564059.70629376522</v>
      </c>
      <c r="AH128" s="115">
        <f t="shared" si="68"/>
        <v>572270.23728630249</v>
      </c>
      <c r="AI128" s="115">
        <f t="shared" si="68"/>
        <v>580537.41138016433</v>
      </c>
      <c r="AJ128" s="115">
        <f t="shared" si="68"/>
        <v>588870.6690922376</v>
      </c>
      <c r="AK128" s="115">
        <f t="shared" si="68"/>
        <v>597270.01042252278</v>
      </c>
      <c r="AL128" s="115">
        <f t="shared" si="68"/>
        <v>605725.99485413218</v>
      </c>
      <c r="AM128" s="115">
        <f t="shared" si="68"/>
        <v>614248.06290395337</v>
      </c>
      <c r="AN128" s="115">
        <f t="shared" si="68"/>
        <v>622836.21457198623</v>
      </c>
      <c r="AO128" s="115">
        <f t="shared" si="68"/>
        <v>631490.44985823077</v>
      </c>
      <c r="AP128" s="115">
        <f t="shared" si="68"/>
        <v>640210.76876268722</v>
      </c>
      <c r="AQ128" s="115">
        <f t="shared" si="68"/>
        <v>648997.17128535511</v>
      </c>
      <c r="AR128" s="115">
        <f t="shared" si="68"/>
        <v>657849.6574262348</v>
      </c>
      <c r="AS128" s="115">
        <f t="shared" si="68"/>
        <v>666768.2271853264</v>
      </c>
      <c r="AT128" s="115">
        <f t="shared" si="68"/>
        <v>675752.88056262955</v>
      </c>
      <c r="AU128" s="115">
        <f t="shared" si="68"/>
        <v>684803.6175581445</v>
      </c>
      <c r="AV128" s="115">
        <f t="shared" si="68"/>
        <v>693920.43817187101</v>
      </c>
      <c r="AW128" s="115">
        <f t="shared" si="68"/>
        <v>703112.78292069677</v>
      </c>
      <c r="AX128" s="115">
        <f t="shared" si="68"/>
        <v>687541.53715097532</v>
      </c>
      <c r="AY128" s="115">
        <f t="shared" si="68"/>
        <v>671617.10087917256</v>
      </c>
      <c r="AZ128" s="115">
        <f t="shared" si="68"/>
        <v>655348.91462217632</v>
      </c>
      <c r="BA128" s="115">
        <f t="shared" si="68"/>
        <v>638718.09734621155</v>
      </c>
      <c r="BB128" s="115">
        <f t="shared" si="68"/>
        <v>621734.08956816571</v>
      </c>
      <c r="BC128" s="115">
        <f t="shared" si="68"/>
        <v>604387.45077115146</v>
      </c>
      <c r="BD128" s="115">
        <f t="shared" si="68"/>
        <v>586678.18095516879</v>
      </c>
      <c r="BE128" s="115">
        <f t="shared" si="68"/>
        <v>568606.28012021759</v>
      </c>
      <c r="BF128" s="115">
        <f t="shared" si="68"/>
        <v>550162.30774941063</v>
      </c>
      <c r="BG128" s="115">
        <f t="shared" si="68"/>
        <v>531346.26384274766</v>
      </c>
      <c r="BH128" s="115">
        <f t="shared" si="68"/>
        <v>512158.14840022905</v>
      </c>
      <c r="BI128" s="114"/>
    </row>
    <row r="129" spans="1:61" s="138" customFormat="1" x14ac:dyDescent="0.2">
      <c r="A129" s="135" t="s">
        <v>699</v>
      </c>
      <c r="B129" s="168"/>
      <c r="C129" s="136">
        <f xml:space="preserve"> C110 * 'SGSP Salt content'!$B$12 / 'SGSP Pond Sizing'!$B$1 * 'SGSP Section Cost low evap.'!$G$48</f>
        <v>0</v>
      </c>
      <c r="D129" s="136">
        <f xml:space="preserve"> D110 * 'SGSP Salt content'!$B$12 / 'SGSP Pond Sizing'!$B$1 * 'SGSP Section Cost low evap.'!$G$48</f>
        <v>0</v>
      </c>
      <c r="E129" s="136">
        <f xml:space="preserve"> E110 * 'SGSP Salt content'!$B$12 / 'SGSP Pond Sizing'!$B$1 * 'SGSP Section Cost low evap.'!$G$48</f>
        <v>0</v>
      </c>
      <c r="F129" s="136">
        <f xml:space="preserve"> F110 * 'SGSP Salt content'!$B$12 / 'SGSP Pond Sizing'!$B$1 * 'SGSP Section Cost low evap.'!$G$48</f>
        <v>0</v>
      </c>
      <c r="G129" s="136">
        <f xml:space="preserve"> G110 * 'SGSP Salt content'!$B$12 / 'SGSP Pond Sizing'!$B$1 * 'SGSP Section Cost low evap.'!$G$48</f>
        <v>819248.13977488969</v>
      </c>
      <c r="H129" s="136">
        <f xml:space="preserve"> H110 * 'SGSP Salt content'!$B$12 / 'SGSP Pond Sizing'!$B$1 * 'SGSP Section Cost low evap.'!$G$48</f>
        <v>2457744.4193246691</v>
      </c>
      <c r="I129" s="136">
        <f xml:space="preserve"> I110 * 'SGSP Salt content'!$B$12 / 'SGSP Pond Sizing'!$B$1 * 'SGSP Section Cost low evap.'!$G$48</f>
        <v>5478564.9447122468</v>
      </c>
      <c r="J129" s="136">
        <f xml:space="preserve"> J110 * 'SGSP Salt content'!$B$12 / 'SGSP Pond Sizing'!$B$1 * 'SGSP Section Cost low evap.'!$G$48</f>
        <v>9529231.1306506097</v>
      </c>
      <c r="K129" s="136">
        <f xml:space="preserve"> K110 * 'SGSP Salt content'!$B$12 / 'SGSP Pond Sizing'!$B$1 * 'SGSP Section Cost low evap.'!$G$48</f>
        <v>14609742.977139758</v>
      </c>
      <c r="L129" s="136">
        <f xml:space="preserve"> L110 * 'SGSP Salt content'!$B$12 / 'SGSP Pond Sizing'!$B$1 * 'SGSP Section Cost low evap.'!$G$48</f>
        <v>20733843.775432654</v>
      </c>
      <c r="M129" s="136">
        <f xml:space="preserve"> M110 * 'SGSP Salt content'!$B$12 / 'SGSP Pond Sizing'!$B$1 * 'SGSP Section Cost low evap.'!$G$48</f>
        <v>30037827.805345766</v>
      </c>
      <c r="N129" s="136">
        <f xml:space="preserve"> N110 * 'SGSP Salt content'!$B$12 / 'SGSP Pond Sizing'!$B$1 * 'SGSP Section Cost low evap.'!$G$48</f>
        <v>40718072.26668518</v>
      </c>
      <c r="O129" s="136">
        <f xml:space="preserve"> O110 * 'SGSP Salt content'!$B$12 / 'SGSP Pond Sizing'!$B$1 * 'SGSP Section Cost low evap.'!$G$48</f>
        <v>52701516.064008899</v>
      </c>
      <c r="P129" s="136">
        <f xml:space="preserve"> P110 * 'SGSP Salt content'!$B$12 / 'SGSP Pond Sizing'!$B$1 * 'SGSP Section Cost low evap.'!$G$48</f>
        <v>62936310.226150513</v>
      </c>
      <c r="Q129" s="136">
        <f xml:space="preserve"> Q110 * 'SGSP Salt content'!$B$12 / 'SGSP Pond Sizing'!$B$1 * 'SGSP Section Cost low evap.'!$G$48</f>
        <v>74169118.827159777</v>
      </c>
      <c r="R129" s="136">
        <f xml:space="preserve"> R110 * 'SGSP Salt content'!$B$12 / 'SGSP Pond Sizing'!$B$1 * 'SGSP Section Cost low evap.'!$G$48</f>
        <v>86399941.867036715</v>
      </c>
      <c r="S129" s="136">
        <f xml:space="preserve"> S110 * 'SGSP Salt content'!$B$12 / 'SGSP Pond Sizing'!$B$1 * 'SGSP Section Cost low evap.'!$G$48</f>
        <v>97262080.439524487</v>
      </c>
      <c r="T129" s="136">
        <f xml:space="preserve"> T110 * 'SGSP Salt content'!$B$12 / 'SGSP Pond Sizing'!$B$1 * 'SGSP Section Cost low evap.'!$G$48</f>
        <v>108939122.51260988</v>
      </c>
      <c r="U129" s="136">
        <f xml:space="preserve"> U110 * 'SGSP Salt content'!$B$12 / 'SGSP Pond Sizing'!$B$1 * 'SGSP Section Cost low evap.'!$G$48</f>
        <v>121431068.08629301</v>
      </c>
      <c r="V129" s="136">
        <f xml:space="preserve"> V110 * 'SGSP Salt content'!$B$12 / 'SGSP Pond Sizing'!$B$1 * 'SGSP Section Cost low evap.'!$G$48</f>
        <v>134019216.69874677</v>
      </c>
      <c r="W129" s="136">
        <f xml:space="preserve"> W110 * 'SGSP Salt content'!$B$12 / 'SGSP Pond Sizing'!$B$1 * 'SGSP Section Cost low evap.'!$G$48</f>
        <v>146703568.34997129</v>
      </c>
      <c r="X129" s="136">
        <f xml:space="preserve"> X110 * 'SGSP Salt content'!$B$12 / 'SGSP Pond Sizing'!$B$1 * 'SGSP Section Cost low evap.'!$G$48</f>
        <v>159484123.03996646</v>
      </c>
      <c r="Y129" s="136">
        <f xml:space="preserve"> Y110 * 'SGSP Salt content'!$B$12 / 'SGSP Pond Sizing'!$B$1 * 'SGSP Section Cost low evap.'!$G$48</f>
        <v>172360880.76873234</v>
      </c>
      <c r="Z129" s="136">
        <f xml:space="preserve"> Z110 * 'SGSP Salt content'!$B$12 / 'SGSP Pond Sizing'!$B$1 * 'SGSP Section Cost low evap.'!$G$48</f>
        <v>185333841.53626895</v>
      </c>
      <c r="AA129" s="136">
        <f xml:space="preserve"> AA110 * 'SGSP Salt content'!$B$12 / 'SGSP Pond Sizing'!$B$1 * 'SGSP Section Cost low evap.'!$G$48</f>
        <v>198403005.34257621</v>
      </c>
      <c r="AB129" s="136">
        <f xml:space="preserve"> AB110 * 'SGSP Salt content'!$B$12 / 'SGSP Pond Sizing'!$B$1 * 'SGSP Section Cost low evap.'!$G$48</f>
        <v>211582115.47890714</v>
      </c>
      <c r="AC129" s="136">
        <f xml:space="preserve"> AC110 * 'SGSP Salt content'!$B$12 / 'SGSP Pond Sizing'!$B$1 * 'SGSP Section Cost low evap.'!$G$48</f>
        <v>224857428.65400875</v>
      </c>
      <c r="AD129" s="136">
        <f xml:space="preserve"> AD110 * 'SGSP Salt content'!$B$12 / 'SGSP Pond Sizing'!$B$1 * 'SGSP Section Cost low evap.'!$G$48</f>
        <v>238228944.86788106</v>
      </c>
      <c r="AE129" s="136">
        <f xml:space="preserve"> AE110 * 'SGSP Salt content'!$B$12 / 'SGSP Pond Sizing'!$B$1 * 'SGSP Section Cost low evap.'!$G$48</f>
        <v>251696664.12052408</v>
      </c>
      <c r="AF129" s="136">
        <f xml:space="preserve"> AF110 * 'SGSP Salt content'!$B$12 / 'SGSP Pond Sizing'!$B$1 * 'SGSP Section Cost low evap.'!$G$48</f>
        <v>265274329.70319074</v>
      </c>
      <c r="AG129" s="136">
        <f xml:space="preserve"> AG110 * 'SGSP Salt content'!$B$12 / 'SGSP Pond Sizing'!$B$1 * 'SGSP Section Cost low evap.'!$G$48</f>
        <v>278948198.32462811</v>
      </c>
      <c r="AH129" s="136">
        <f xml:space="preserve"> AH110 * 'SGSP Salt content'!$B$12 / 'SGSP Pond Sizing'!$B$1 * 'SGSP Section Cost low evap.'!$G$48</f>
        <v>290900903.89338928</v>
      </c>
      <c r="AI129" s="136">
        <f xml:space="preserve"> AI110 * 'SGSP Salt content'!$B$12 / 'SGSP Pond Sizing'!$B$1 * 'SGSP Section Cost low evap.'!$G$48</f>
        <v>302936069.20966822</v>
      </c>
      <c r="AJ129" s="136">
        <f xml:space="preserve"> AJ110 * 'SGSP Salt content'!$B$12 / 'SGSP Pond Sizing'!$B$1 * 'SGSP Section Cost low evap.'!$G$48</f>
        <v>315067437.56471783</v>
      </c>
      <c r="AK129" s="136">
        <f xml:space="preserve"> AK110 * 'SGSP Salt content'!$B$12 / 'SGSP Pond Sizing'!$B$1 * 'SGSP Section Cost low evap.'!$G$48</f>
        <v>327295008.95853812</v>
      </c>
      <c r="AL129" s="136">
        <f xml:space="preserve"> AL110 * 'SGSP Salt content'!$B$12 / 'SGSP Pond Sizing'!$B$1 * 'SGSP Section Cost low evap.'!$G$48</f>
        <v>339605040.09987617</v>
      </c>
      <c r="AM129" s="136">
        <f xml:space="preserve"> AM110 * 'SGSP Salt content'!$B$12 / 'SGSP Pond Sizing'!$B$1 * 'SGSP Section Cost low evap.'!$G$48</f>
        <v>352011274.27998495</v>
      </c>
      <c r="AN129" s="136">
        <f xml:space="preserve"> AN110 * 'SGSP Salt content'!$B$12 / 'SGSP Pond Sizing'!$B$1 * 'SGSP Section Cost low evap.'!$G$48</f>
        <v>364513711.49886435</v>
      </c>
      <c r="AO129" s="136">
        <f xml:space="preserve"> AO110 * 'SGSP Salt content'!$B$12 / 'SGSP Pond Sizing'!$B$1 * 'SGSP Section Cost low evap.'!$G$48</f>
        <v>377112351.75651449</v>
      </c>
      <c r="AP129" s="136">
        <f xml:space="preserve"> AP110 * 'SGSP Salt content'!$B$12 / 'SGSP Pond Sizing'!$B$1 * 'SGSP Section Cost low evap.'!$G$48</f>
        <v>389807195.05293536</v>
      </c>
      <c r="AQ129" s="136">
        <f xml:space="preserve"> AQ110 * 'SGSP Salt content'!$B$12 / 'SGSP Pond Sizing'!$B$1 * 'SGSP Section Cost low evap.'!$G$48</f>
        <v>402598241.38812685</v>
      </c>
      <c r="AR129" s="136">
        <f xml:space="preserve"> AR110 * 'SGSP Salt content'!$B$12 / 'SGSP Pond Sizing'!$B$1 * 'SGSP Section Cost low evap.'!$G$48</f>
        <v>415485490.76208907</v>
      </c>
      <c r="AS129" s="136">
        <f xml:space="preserve"> AS110 * 'SGSP Salt content'!$B$12 / 'SGSP Pond Sizing'!$B$1 * 'SGSP Section Cost low evap.'!$G$48</f>
        <v>428468943.17482191</v>
      </c>
      <c r="AT129" s="136">
        <f xml:space="preserve"> AT110 * 'SGSP Salt content'!$B$12 / 'SGSP Pond Sizing'!$B$1 * 'SGSP Section Cost low evap.'!$G$48</f>
        <v>441548598.62632561</v>
      </c>
      <c r="AU129" s="136">
        <f xml:space="preserve"> AU110 * 'SGSP Salt content'!$B$12 / 'SGSP Pond Sizing'!$B$1 * 'SGSP Section Cost low evap.'!$G$48</f>
        <v>454724457.11659992</v>
      </c>
      <c r="AV129" s="136">
        <f xml:space="preserve"> AV110 * 'SGSP Salt content'!$B$12 / 'SGSP Pond Sizing'!$B$1 * 'SGSP Section Cost low evap.'!$G$48</f>
        <v>467996518.6456449</v>
      </c>
      <c r="AW129" s="136">
        <f xml:space="preserve"> AW110 * 'SGSP Salt content'!$B$12 / 'SGSP Pond Sizing'!$B$1 * 'SGSP Section Cost low evap.'!$G$48</f>
        <v>481378526.50471359</v>
      </c>
      <c r="AX129" s="136">
        <f xml:space="preserve"> AX110 * 'SGSP Salt content'!$B$12 / 'SGSP Pond Sizing'!$B$1 * 'SGSP Section Cost low evap.'!$G$48</f>
        <v>494856737.4025529</v>
      </c>
      <c r="AY129" s="136">
        <f xml:space="preserve"> AY110 * 'SGSP Salt content'!$B$12 / 'SGSP Pond Sizing'!$B$1 * 'SGSP Section Cost low evap.'!$G$48</f>
        <v>507820781.54492968</v>
      </c>
      <c r="AZ129" s="136">
        <f xml:space="preserve"> AZ110 * 'SGSP Salt content'!$B$12 / 'SGSP Pond Sizing'!$B$1 * 'SGSP Section Cost low evap.'!$G$48</f>
        <v>520284402.22309679</v>
      </c>
      <c r="BA129" s="136">
        <f xml:space="preserve"> BA110 * 'SGSP Salt content'!$B$12 / 'SGSP Pond Sizing'!$B$1 * 'SGSP Section Cost low evap.'!$G$48</f>
        <v>532220112.85454839</v>
      </c>
      <c r="BB129" s="136">
        <f xml:space="preserve"> BB110 * 'SGSP Salt content'!$B$12 / 'SGSP Pond Sizing'!$B$1 * 'SGSP Section Cost low evap.'!$G$48</f>
        <v>543641656.73053741</v>
      </c>
      <c r="BC129" s="136">
        <f xml:space="preserve"> BC110 * 'SGSP Salt content'!$B$12 / 'SGSP Pond Sizing'!$B$1 * 'SGSP Section Cost low evap.'!$G$48</f>
        <v>554535290.55981088</v>
      </c>
      <c r="BD129" s="136">
        <f xml:space="preserve"> BD110 * 'SGSP Salt content'!$B$12 / 'SGSP Pond Sizing'!$B$1 * 'SGSP Section Cost low evap.'!$G$48</f>
        <v>564901014.34236896</v>
      </c>
      <c r="BE129" s="136">
        <f xml:space="preserve"> BE110 * 'SGSP Salt content'!$B$12 / 'SGSP Pond Sizing'!$B$1 * 'SGSP Section Cost low evap.'!$G$48</f>
        <v>574738828.07821119</v>
      </c>
      <c r="BF129" s="136">
        <f xml:space="preserve"> BF110 * 'SGSP Salt content'!$B$12 / 'SGSP Pond Sizing'!$B$1 * 'SGSP Section Cost low evap.'!$G$48</f>
        <v>584034988.47608519</v>
      </c>
      <c r="BG129" s="136">
        <f xml:space="preserve"> BG110 * 'SGSP Salt content'!$B$12 / 'SGSP Pond Sizing'!$B$1 * 'SGSP Section Cost low evap.'!$G$48</f>
        <v>592789495.5359906</v>
      </c>
      <c r="BH129" s="136">
        <f xml:space="preserve"> BH110 * 'SGSP Salt content'!$B$12 / 'SGSP Pond Sizing'!$B$1 * 'SGSP Section Cost low evap.'!$G$48</f>
        <v>601002349.25792754</v>
      </c>
      <c r="BI129" s="137"/>
    </row>
    <row r="130" spans="1:61" s="138" customFormat="1" hidden="1" x14ac:dyDescent="0.2">
      <c r="A130" s="135" t="s">
        <v>700</v>
      </c>
      <c r="B130" s="168"/>
      <c r="C130" s="136">
        <f xml:space="preserve"> E129 - D129</f>
        <v>0</v>
      </c>
      <c r="D130" s="136">
        <f t="shared" ref="D130:AK130" si="69" xml:space="preserve"> F129 - E129</f>
        <v>0</v>
      </c>
      <c r="E130" s="136">
        <f t="shared" si="69"/>
        <v>819248.13977488969</v>
      </c>
      <c r="F130" s="136">
        <f t="shared" si="69"/>
        <v>1638496.2795497794</v>
      </c>
      <c r="G130" s="136">
        <f t="shared" si="69"/>
        <v>3020820.5253875777</v>
      </c>
      <c r="H130" s="136">
        <f t="shared" si="69"/>
        <v>4050666.185938363</v>
      </c>
      <c r="I130" s="136">
        <f t="shared" si="69"/>
        <v>5080511.8464891482</v>
      </c>
      <c r="J130" s="136">
        <f t="shared" si="69"/>
        <v>6124100.7982928958</v>
      </c>
      <c r="K130" s="136">
        <f t="shared" si="69"/>
        <v>9303984.0299131125</v>
      </c>
      <c r="L130" s="136">
        <f t="shared" si="69"/>
        <v>10680244.461339414</v>
      </c>
      <c r="M130" s="136">
        <f t="shared" si="69"/>
        <v>11983443.797323719</v>
      </c>
      <c r="N130" s="136">
        <f t="shared" si="69"/>
        <v>10234794.162141614</v>
      </c>
      <c r="O130" s="136">
        <f t="shared" si="69"/>
        <v>11232808.601009265</v>
      </c>
      <c r="P130" s="136">
        <f t="shared" si="69"/>
        <v>12230823.039876938</v>
      </c>
      <c r="Q130" s="136">
        <f t="shared" si="69"/>
        <v>10862138.572487772</v>
      </c>
      <c r="R130" s="136">
        <f t="shared" si="69"/>
        <v>11677042.073085397</v>
      </c>
      <c r="S130" s="136">
        <f t="shared" si="69"/>
        <v>12491945.573683128</v>
      </c>
      <c r="T130" s="136">
        <f t="shared" si="69"/>
        <v>12588148.612453759</v>
      </c>
      <c r="U130" s="136">
        <f t="shared" si="69"/>
        <v>12684351.651224524</v>
      </c>
      <c r="V130" s="136">
        <f t="shared" si="69"/>
        <v>12780554.68999517</v>
      </c>
      <c r="W130" s="136">
        <f t="shared" si="69"/>
        <v>12876757.728765875</v>
      </c>
      <c r="X130" s="136">
        <f t="shared" si="69"/>
        <v>12972960.76753661</v>
      </c>
      <c r="Y130" s="136">
        <f t="shared" si="69"/>
        <v>13069163.806307256</v>
      </c>
      <c r="Z130" s="136">
        <f t="shared" si="69"/>
        <v>13179110.136330932</v>
      </c>
      <c r="AA130" s="136">
        <f t="shared" si="69"/>
        <v>13275313.175101608</v>
      </c>
      <c r="AB130" s="136">
        <f t="shared" si="69"/>
        <v>13371516.213872313</v>
      </c>
      <c r="AC130" s="136">
        <f t="shared" si="69"/>
        <v>13467719.252643019</v>
      </c>
      <c r="AD130" s="136">
        <f t="shared" si="69"/>
        <v>13577665.582666665</v>
      </c>
      <c r="AE130" s="136">
        <f t="shared" si="69"/>
        <v>13673868.621437371</v>
      </c>
      <c r="AF130" s="136">
        <f t="shared" si="69"/>
        <v>11952705.56876117</v>
      </c>
      <c r="AG130" s="136">
        <f t="shared" si="69"/>
        <v>12035165.316278934</v>
      </c>
      <c r="AH130" s="136">
        <f t="shared" si="69"/>
        <v>12131368.35504961</v>
      </c>
      <c r="AI130" s="136">
        <f t="shared" si="69"/>
        <v>12227571.393820286</v>
      </c>
      <c r="AJ130" s="136">
        <f t="shared" si="69"/>
        <v>12310031.14133805</v>
      </c>
      <c r="AK130" s="136">
        <f t="shared" si="69"/>
        <v>12406234.180108786</v>
      </c>
      <c r="AL130" s="136">
        <v>0</v>
      </c>
      <c r="AM130" s="136">
        <v>0</v>
      </c>
      <c r="AN130" s="136">
        <v>0</v>
      </c>
      <c r="AO130" s="136">
        <v>0</v>
      </c>
      <c r="AP130" s="136">
        <v>0</v>
      </c>
      <c r="AQ130" s="136">
        <v>0</v>
      </c>
      <c r="AR130" s="136">
        <v>0</v>
      </c>
      <c r="AS130" s="136">
        <v>0</v>
      </c>
      <c r="AT130" s="136">
        <v>0</v>
      </c>
      <c r="AU130" s="136">
        <v>0</v>
      </c>
      <c r="AV130" s="136">
        <v>0</v>
      </c>
      <c r="AW130" s="136">
        <v>0</v>
      </c>
      <c r="AX130" s="136">
        <v>0</v>
      </c>
      <c r="AY130" s="136">
        <v>0</v>
      </c>
      <c r="AZ130" s="136">
        <v>0</v>
      </c>
      <c r="BA130" s="136">
        <v>0</v>
      </c>
      <c r="BB130" s="136">
        <v>0</v>
      </c>
      <c r="BC130" s="136">
        <v>0</v>
      </c>
      <c r="BD130" s="136">
        <v>0</v>
      </c>
      <c r="BE130" s="136">
        <v>0</v>
      </c>
      <c r="BF130" s="136">
        <v>0</v>
      </c>
      <c r="BG130" s="136">
        <v>0</v>
      </c>
      <c r="BH130" s="136">
        <v>0</v>
      </c>
      <c r="BI130" s="137"/>
    </row>
    <row r="131" spans="1:61" hidden="1" x14ac:dyDescent="0.2">
      <c r="A131" t="s">
        <v>701</v>
      </c>
      <c r="B131" s="31"/>
      <c r="C131" s="103">
        <v>0</v>
      </c>
      <c r="D131" s="10">
        <f>$C131</f>
        <v>0</v>
      </c>
      <c r="E131" s="10">
        <f t="shared" ref="E131:BH131" si="70">$C131</f>
        <v>0</v>
      </c>
      <c r="F131" s="10">
        <f t="shared" si="70"/>
        <v>0</v>
      </c>
      <c r="G131" s="10">
        <f t="shared" si="70"/>
        <v>0</v>
      </c>
      <c r="H131" s="10">
        <f t="shared" si="70"/>
        <v>0</v>
      </c>
      <c r="I131" s="10">
        <f t="shared" si="70"/>
        <v>0</v>
      </c>
      <c r="J131" s="10">
        <f t="shared" si="70"/>
        <v>0</v>
      </c>
      <c r="K131" s="10">
        <f t="shared" si="70"/>
        <v>0</v>
      </c>
      <c r="L131" s="10">
        <f t="shared" si="70"/>
        <v>0</v>
      </c>
      <c r="M131" s="10">
        <f t="shared" si="70"/>
        <v>0</v>
      </c>
      <c r="N131" s="10">
        <f t="shared" si="70"/>
        <v>0</v>
      </c>
      <c r="O131" s="10">
        <f t="shared" si="70"/>
        <v>0</v>
      </c>
      <c r="P131" s="10">
        <f t="shared" si="70"/>
        <v>0</v>
      </c>
      <c r="Q131" s="10">
        <f t="shared" si="70"/>
        <v>0</v>
      </c>
      <c r="R131" s="10">
        <f t="shared" si="70"/>
        <v>0</v>
      </c>
      <c r="S131" s="10">
        <f t="shared" si="70"/>
        <v>0</v>
      </c>
      <c r="T131" s="10">
        <f t="shared" si="70"/>
        <v>0</v>
      </c>
      <c r="U131" s="10">
        <f t="shared" si="70"/>
        <v>0</v>
      </c>
      <c r="V131" s="10">
        <f t="shared" si="70"/>
        <v>0</v>
      </c>
      <c r="W131" s="10">
        <f t="shared" si="70"/>
        <v>0</v>
      </c>
      <c r="X131" s="10">
        <f t="shared" si="70"/>
        <v>0</v>
      </c>
      <c r="Y131" s="10">
        <f t="shared" si="70"/>
        <v>0</v>
      </c>
      <c r="Z131" s="10">
        <f t="shared" si="70"/>
        <v>0</v>
      </c>
      <c r="AA131" s="10">
        <f t="shared" si="70"/>
        <v>0</v>
      </c>
      <c r="AB131" s="10">
        <f t="shared" si="70"/>
        <v>0</v>
      </c>
      <c r="AC131" s="10">
        <f t="shared" si="70"/>
        <v>0</v>
      </c>
      <c r="AD131" s="10">
        <f t="shared" si="70"/>
        <v>0</v>
      </c>
      <c r="AE131" s="10">
        <f t="shared" si="70"/>
        <v>0</v>
      </c>
      <c r="AF131" s="10">
        <f t="shared" si="70"/>
        <v>0</v>
      </c>
      <c r="AG131" s="10">
        <f t="shared" si="70"/>
        <v>0</v>
      </c>
      <c r="AH131" s="10">
        <f t="shared" si="70"/>
        <v>0</v>
      </c>
      <c r="AI131" s="10">
        <f t="shared" si="70"/>
        <v>0</v>
      </c>
      <c r="AJ131" s="10">
        <f t="shared" si="70"/>
        <v>0</v>
      </c>
      <c r="AK131" s="10">
        <f t="shared" si="70"/>
        <v>0</v>
      </c>
      <c r="AL131" s="10">
        <f t="shared" si="70"/>
        <v>0</v>
      </c>
      <c r="AM131" s="10">
        <f t="shared" si="70"/>
        <v>0</v>
      </c>
      <c r="AN131" s="10">
        <f t="shared" si="70"/>
        <v>0</v>
      </c>
      <c r="AO131" s="10">
        <f t="shared" si="70"/>
        <v>0</v>
      </c>
      <c r="AP131" s="10">
        <f t="shared" si="70"/>
        <v>0</v>
      </c>
      <c r="AQ131" s="10">
        <f t="shared" si="70"/>
        <v>0</v>
      </c>
      <c r="AR131" s="10">
        <f t="shared" si="70"/>
        <v>0</v>
      </c>
      <c r="AS131" s="10">
        <f t="shared" si="70"/>
        <v>0</v>
      </c>
      <c r="AT131" s="10">
        <f t="shared" si="70"/>
        <v>0</v>
      </c>
      <c r="AU131" s="10">
        <f t="shared" si="70"/>
        <v>0</v>
      </c>
      <c r="AV131" s="10">
        <f t="shared" si="70"/>
        <v>0</v>
      </c>
      <c r="AW131" s="10">
        <f t="shared" si="70"/>
        <v>0</v>
      </c>
      <c r="AX131" s="10">
        <f t="shared" si="70"/>
        <v>0</v>
      </c>
      <c r="AY131" s="10">
        <f t="shared" si="70"/>
        <v>0</v>
      </c>
      <c r="AZ131" s="10">
        <f t="shared" si="70"/>
        <v>0</v>
      </c>
      <c r="BA131" s="10">
        <f t="shared" si="70"/>
        <v>0</v>
      </c>
      <c r="BB131" s="10">
        <f t="shared" si="70"/>
        <v>0</v>
      </c>
      <c r="BC131" s="10">
        <f t="shared" si="70"/>
        <v>0</v>
      </c>
      <c r="BD131" s="10">
        <f t="shared" si="70"/>
        <v>0</v>
      </c>
      <c r="BE131" s="10">
        <f t="shared" si="70"/>
        <v>0</v>
      </c>
      <c r="BF131" s="10">
        <f t="shared" si="70"/>
        <v>0</v>
      </c>
      <c r="BG131" s="10">
        <f t="shared" si="70"/>
        <v>0</v>
      </c>
      <c r="BH131" s="10">
        <f t="shared" si="70"/>
        <v>0</v>
      </c>
      <c r="BI131" s="10"/>
    </row>
    <row r="132" spans="1:61" s="84" customFormat="1" hidden="1" x14ac:dyDescent="0.2">
      <c r="A132" s="84" t="s">
        <v>702</v>
      </c>
      <c r="B132" s="158"/>
      <c r="C132" s="85">
        <f t="shared" ref="C132:BH132" si="71" xml:space="preserve"> C125 * C131</f>
        <v>0</v>
      </c>
      <c r="D132" s="85">
        <f t="shared" si="71"/>
        <v>0</v>
      </c>
      <c r="E132" s="85">
        <f t="shared" si="71"/>
        <v>0</v>
      </c>
      <c r="F132" s="85">
        <f t="shared" si="71"/>
        <v>0</v>
      </c>
      <c r="G132" s="85">
        <f t="shared" si="71"/>
        <v>0</v>
      </c>
      <c r="H132" s="85">
        <f t="shared" si="71"/>
        <v>0</v>
      </c>
      <c r="I132" s="85">
        <f t="shared" si="71"/>
        <v>0</v>
      </c>
      <c r="J132" s="85">
        <f t="shared" si="71"/>
        <v>0</v>
      </c>
      <c r="K132" s="85">
        <f t="shared" si="71"/>
        <v>0</v>
      </c>
      <c r="L132" s="85">
        <f t="shared" si="71"/>
        <v>0</v>
      </c>
      <c r="M132" s="85">
        <f t="shared" si="71"/>
        <v>0</v>
      </c>
      <c r="N132" s="85">
        <f t="shared" si="71"/>
        <v>0</v>
      </c>
      <c r="O132" s="85">
        <f t="shared" si="71"/>
        <v>0</v>
      </c>
      <c r="P132" s="85">
        <f t="shared" si="71"/>
        <v>0</v>
      </c>
      <c r="Q132" s="85">
        <f t="shared" si="71"/>
        <v>0</v>
      </c>
      <c r="R132" s="85">
        <f t="shared" si="71"/>
        <v>0</v>
      </c>
      <c r="S132" s="85">
        <f t="shared" si="71"/>
        <v>0</v>
      </c>
      <c r="T132" s="85">
        <f t="shared" si="71"/>
        <v>0</v>
      </c>
      <c r="U132" s="85">
        <f t="shared" si="71"/>
        <v>0</v>
      </c>
      <c r="V132" s="85">
        <f t="shared" si="71"/>
        <v>0</v>
      </c>
      <c r="W132" s="85">
        <f t="shared" si="71"/>
        <v>0</v>
      </c>
      <c r="X132" s="85">
        <f t="shared" si="71"/>
        <v>0</v>
      </c>
      <c r="Y132" s="85">
        <f t="shared" si="71"/>
        <v>0</v>
      </c>
      <c r="Z132" s="85">
        <f t="shared" si="71"/>
        <v>0</v>
      </c>
      <c r="AA132" s="85">
        <f t="shared" si="71"/>
        <v>0</v>
      </c>
      <c r="AB132" s="85">
        <f t="shared" si="71"/>
        <v>0</v>
      </c>
      <c r="AC132" s="85">
        <f t="shared" si="71"/>
        <v>0</v>
      </c>
      <c r="AD132" s="85">
        <f t="shared" si="71"/>
        <v>0</v>
      </c>
      <c r="AE132" s="85">
        <f t="shared" si="71"/>
        <v>0</v>
      </c>
      <c r="AF132" s="85">
        <f t="shared" si="71"/>
        <v>0</v>
      </c>
      <c r="AG132" s="85">
        <f t="shared" si="71"/>
        <v>0</v>
      </c>
      <c r="AH132" s="85">
        <f t="shared" si="71"/>
        <v>0</v>
      </c>
      <c r="AI132" s="85">
        <f t="shared" si="71"/>
        <v>0</v>
      </c>
      <c r="AJ132" s="85">
        <f t="shared" si="71"/>
        <v>0</v>
      </c>
      <c r="AK132" s="85">
        <f t="shared" si="71"/>
        <v>0</v>
      </c>
      <c r="AL132" s="85">
        <f t="shared" si="71"/>
        <v>0</v>
      </c>
      <c r="AM132" s="85">
        <f t="shared" si="71"/>
        <v>0</v>
      </c>
      <c r="AN132" s="85">
        <f t="shared" si="71"/>
        <v>0</v>
      </c>
      <c r="AO132" s="85">
        <f t="shared" si="71"/>
        <v>0</v>
      </c>
      <c r="AP132" s="85">
        <f t="shared" si="71"/>
        <v>0</v>
      </c>
      <c r="AQ132" s="85">
        <f t="shared" si="71"/>
        <v>0</v>
      </c>
      <c r="AR132" s="85">
        <f t="shared" si="71"/>
        <v>0</v>
      </c>
      <c r="AS132" s="85">
        <f t="shared" si="71"/>
        <v>0</v>
      </c>
      <c r="AT132" s="85">
        <f t="shared" si="71"/>
        <v>0</v>
      </c>
      <c r="AU132" s="85">
        <f t="shared" si="71"/>
        <v>0</v>
      </c>
      <c r="AV132" s="85">
        <f t="shared" si="71"/>
        <v>0</v>
      </c>
      <c r="AW132" s="85">
        <f t="shared" si="71"/>
        <v>0</v>
      </c>
      <c r="AX132" s="85">
        <f t="shared" si="71"/>
        <v>0</v>
      </c>
      <c r="AY132" s="85">
        <f t="shared" si="71"/>
        <v>0</v>
      </c>
      <c r="AZ132" s="85">
        <f t="shared" si="71"/>
        <v>0</v>
      </c>
      <c r="BA132" s="85">
        <f t="shared" si="71"/>
        <v>0</v>
      </c>
      <c r="BB132" s="85">
        <f t="shared" si="71"/>
        <v>0</v>
      </c>
      <c r="BC132" s="85">
        <f t="shared" si="71"/>
        <v>0</v>
      </c>
      <c r="BD132" s="85">
        <f t="shared" si="71"/>
        <v>0</v>
      </c>
      <c r="BE132" s="85">
        <f t="shared" si="71"/>
        <v>0</v>
      </c>
      <c r="BF132" s="85">
        <f t="shared" si="71"/>
        <v>0</v>
      </c>
      <c r="BG132" s="85">
        <f t="shared" si="71"/>
        <v>0</v>
      </c>
      <c r="BH132" s="85">
        <f t="shared" si="71"/>
        <v>0</v>
      </c>
      <c r="BI132" s="85"/>
    </row>
    <row r="133" spans="1:61" s="84" customFormat="1" hidden="1" x14ac:dyDescent="0.2">
      <c r="B133" s="158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</row>
    <row r="134" spans="1:61" hidden="1" x14ac:dyDescent="0.2">
      <c r="A134" s="1" t="s">
        <v>810</v>
      </c>
      <c r="B134" s="31"/>
    </row>
    <row r="135" spans="1:61" s="80" customFormat="1" hidden="1" x14ac:dyDescent="0.2">
      <c r="A135" s="80" t="s">
        <v>26</v>
      </c>
      <c r="B135" s="163"/>
      <c r="C135" s="81">
        <f t="shared" ref="C135:BH135" si="72">SUM(C33,C43,C85,C95,C58,C117,C132)</f>
        <v>0</v>
      </c>
      <c r="D135" s="81">
        <f t="shared" si="72"/>
        <v>0</v>
      </c>
      <c r="E135" s="81">
        <f t="shared" si="72"/>
        <v>0</v>
      </c>
      <c r="F135" s="81">
        <f t="shared" si="72"/>
        <v>21252775.39640373</v>
      </c>
      <c r="G135" s="81">
        <f t="shared" si="72"/>
        <v>45999033.095717169</v>
      </c>
      <c r="H135" s="81">
        <f t="shared" si="72"/>
        <v>92152744.972940326</v>
      </c>
      <c r="I135" s="81">
        <f t="shared" si="72"/>
        <v>144264177.24432957</v>
      </c>
      <c r="J135" s="81">
        <f t="shared" si="72"/>
        <v>201152154.57102096</v>
      </c>
      <c r="K135" s="81">
        <f t="shared" si="72"/>
        <v>262816676.95301446</v>
      </c>
      <c r="L135" s="81">
        <f t="shared" si="72"/>
        <v>329303798.92349434</v>
      </c>
      <c r="M135" s="81">
        <f t="shared" si="72"/>
        <v>509928734.99397814</v>
      </c>
      <c r="N135" s="81">
        <f t="shared" si="72"/>
        <v>582858924.06165302</v>
      </c>
      <c r="O135" s="81">
        <f t="shared" si="72"/>
        <v>660733545.31859338</v>
      </c>
      <c r="P135" s="81">
        <f t="shared" si="72"/>
        <v>733325683.16439843</v>
      </c>
      <c r="Q135" s="81">
        <f t="shared" si="72"/>
        <v>809839561.63942873</v>
      </c>
      <c r="R135" s="81">
        <f t="shared" si="72"/>
        <v>890275180.74368465</v>
      </c>
      <c r="S135" s="81">
        <f t="shared" si="72"/>
        <v>970212014.50520802</v>
      </c>
      <c r="T135" s="81">
        <f t="shared" si="72"/>
        <v>1054316695.6234357</v>
      </c>
      <c r="U135" s="81">
        <f t="shared" si="72"/>
        <v>1131680843.0467412</v>
      </c>
      <c r="V135" s="81">
        <f t="shared" si="72"/>
        <v>1199478785.6586237</v>
      </c>
      <c r="W135" s="81">
        <f t="shared" si="72"/>
        <v>1268191909.0840826</v>
      </c>
      <c r="X135" s="81">
        <f t="shared" si="72"/>
        <v>1337820213.323118</v>
      </c>
      <c r="Y135" s="81">
        <f t="shared" si="72"/>
        <v>1408363698.3757303</v>
      </c>
      <c r="Z135" s="81">
        <f t="shared" si="72"/>
        <v>1479822364.2419193</v>
      </c>
      <c r="AA135" s="81">
        <f t="shared" si="72"/>
        <v>1566254893.9833429</v>
      </c>
      <c r="AB135" s="81">
        <f t="shared" si="72"/>
        <v>1639738944.4263899</v>
      </c>
      <c r="AC135" s="81">
        <f t="shared" si="72"/>
        <v>1714138175.6830134</v>
      </c>
      <c r="AD135" s="81">
        <f t="shared" si="72"/>
        <v>1789452587.7532139</v>
      </c>
      <c r="AE135" s="81">
        <f t="shared" si="72"/>
        <v>1868682469.8647311</v>
      </c>
      <c r="AF135" s="81">
        <f t="shared" si="72"/>
        <v>1945915640.8867893</v>
      </c>
      <c r="AG135" s="81">
        <f t="shared" si="72"/>
        <v>2027148967.5332057</v>
      </c>
      <c r="AH135" s="81">
        <f t="shared" si="72"/>
        <v>2109011574.9195797</v>
      </c>
      <c r="AI135" s="81">
        <f t="shared" si="72"/>
        <v>2182960764.6471276</v>
      </c>
      <c r="AJ135" s="81">
        <f t="shared" si="72"/>
        <v>2257825135.1882524</v>
      </c>
      <c r="AK135" s="81">
        <f t="shared" si="72"/>
        <v>2330350340.5660906</v>
      </c>
      <c r="AL135" s="81">
        <f t="shared" si="72"/>
        <v>2406956675.4096632</v>
      </c>
      <c r="AM135" s="81">
        <f t="shared" si="72"/>
        <v>2484478191.066813</v>
      </c>
      <c r="AN135" s="81">
        <f t="shared" si="72"/>
        <v>2575528785.6625395</v>
      </c>
      <c r="AO135" s="81">
        <f t="shared" si="72"/>
        <v>2654987288.5718431</v>
      </c>
      <c r="AP135" s="81">
        <f t="shared" si="72"/>
        <v>2735360972.294723</v>
      </c>
      <c r="AQ135" s="81">
        <f t="shared" si="72"/>
        <v>2816649836.8311791</v>
      </c>
      <c r="AR135" s="81">
        <f t="shared" si="72"/>
        <v>2898853882.1812124</v>
      </c>
      <c r="AS135" s="81">
        <f t="shared" si="72"/>
        <v>2981973108.3448224</v>
      </c>
      <c r="AT135" s="81">
        <f t="shared" si="72"/>
        <v>3066007515.3220096</v>
      </c>
      <c r="AU135" s="81">
        <f t="shared" si="72"/>
        <v>3164317380.6127729</v>
      </c>
      <c r="AV135" s="81">
        <f t="shared" si="72"/>
        <v>3254008891.5257015</v>
      </c>
      <c r="AW135" s="81">
        <f t="shared" si="72"/>
        <v>3340983863.8933229</v>
      </c>
      <c r="AX135" s="81">
        <f t="shared" si="72"/>
        <v>3416104470.3756161</v>
      </c>
      <c r="AY135" s="81">
        <f t="shared" si="72"/>
        <v>3493942019.6095567</v>
      </c>
      <c r="AZ135" s="81">
        <f t="shared" si="72"/>
        <v>3563001130.9538765</v>
      </c>
      <c r="BA135" s="81">
        <f t="shared" si="72"/>
        <v>3648731161.7666597</v>
      </c>
      <c r="BB135" s="81">
        <f t="shared" si="72"/>
        <v>3715463411.2152262</v>
      </c>
      <c r="BC135" s="81">
        <f t="shared" si="72"/>
        <v>3780934718.241065</v>
      </c>
      <c r="BD135" s="81">
        <f t="shared" si="72"/>
        <v>3845145082.8441749</v>
      </c>
      <c r="BE135" s="81">
        <f t="shared" si="72"/>
        <v>3903993303.2172823</v>
      </c>
      <c r="BF135" s="81">
        <f t="shared" si="72"/>
        <v>3961449841.0514355</v>
      </c>
      <c r="BG135" s="81">
        <f t="shared" si="72"/>
        <v>4017514696.3466344</v>
      </c>
      <c r="BH135" s="81">
        <f t="shared" si="72"/>
        <v>4086934279.72788</v>
      </c>
      <c r="BI135" s="81"/>
    </row>
    <row r="136" spans="1:61" s="82" customFormat="1" hidden="1" x14ac:dyDescent="0.2">
      <c r="A136" s="82" t="s">
        <v>27</v>
      </c>
      <c r="B136" s="156"/>
      <c r="C136" s="83">
        <f>SUM(C23,C29,C39,C48,C75,C81,C91,C63,C111)</f>
        <v>0</v>
      </c>
      <c r="D136" s="83">
        <f t="shared" ref="D136:BH136" si="73">SUM(D23,D29,D39,D48,D75,D81,D91,D63,D111)</f>
        <v>25578205.29037049</v>
      </c>
      <c r="E136" s="83">
        <f t="shared" si="73"/>
        <v>70097452.74919647</v>
      </c>
      <c r="F136" s="83">
        <f t="shared" si="73"/>
        <v>111764970.83726969</v>
      </c>
      <c r="G136" s="83">
        <f t="shared" si="73"/>
        <v>158230758.90284812</v>
      </c>
      <c r="H136" s="83">
        <f t="shared" si="73"/>
        <v>231149071.0340625</v>
      </c>
      <c r="I136" s="83">
        <f t="shared" si="73"/>
        <v>283527722.39201927</v>
      </c>
      <c r="J136" s="83">
        <f t="shared" si="73"/>
        <v>338518733.72748125</v>
      </c>
      <c r="K136" s="83">
        <f t="shared" si="73"/>
        <v>391596378.23424119</v>
      </c>
      <c r="L136" s="83">
        <f t="shared" si="73"/>
        <v>558552124.03925061</v>
      </c>
      <c r="M136" s="83">
        <f t="shared" si="73"/>
        <v>612220984.27312875</v>
      </c>
      <c r="N136" s="83">
        <f t="shared" si="73"/>
        <v>678502589.6477977</v>
      </c>
      <c r="O136" s="83">
        <f t="shared" si="73"/>
        <v>589565078.81783879</v>
      </c>
      <c r="P136" s="83">
        <f t="shared" si="73"/>
        <v>640324772.57204497</v>
      </c>
      <c r="Q136" s="83">
        <f t="shared" si="73"/>
        <v>693696826.30375636</v>
      </c>
      <c r="R136" s="83">
        <f t="shared" si="73"/>
        <v>621650428.29961348</v>
      </c>
      <c r="S136" s="83">
        <f t="shared" si="73"/>
        <v>637555725.8079145</v>
      </c>
      <c r="T136" s="83">
        <f t="shared" si="73"/>
        <v>656162928.06700444</v>
      </c>
      <c r="U136" s="83">
        <f t="shared" si="73"/>
        <v>659413833.12207973</v>
      </c>
      <c r="V136" s="83">
        <f t="shared" si="73"/>
        <v>664306785.16370058</v>
      </c>
      <c r="W136" s="83">
        <f t="shared" si="73"/>
        <v>669199737.20532143</v>
      </c>
      <c r="X136" s="83">
        <f t="shared" si="73"/>
        <v>674092689.24694204</v>
      </c>
      <c r="Y136" s="83">
        <f t="shared" si="73"/>
        <v>678985641.28856289</v>
      </c>
      <c r="Z136" s="83">
        <f t="shared" si="73"/>
        <v>688259501.08426094</v>
      </c>
      <c r="AA136" s="83">
        <f t="shared" si="73"/>
        <v>689470538.52060735</v>
      </c>
      <c r="AB136" s="83">
        <f t="shared" si="73"/>
        <v>694363490.5622282</v>
      </c>
      <c r="AC136" s="83">
        <f t="shared" si="73"/>
        <v>699256442.60384893</v>
      </c>
      <c r="AD136" s="83">
        <f t="shared" si="73"/>
        <v>706888255.41300178</v>
      </c>
      <c r="AE136" s="83">
        <f t="shared" si="73"/>
        <v>709741339.83589351</v>
      </c>
      <c r="AF136" s="83">
        <f t="shared" si="73"/>
        <v>717373152.64504635</v>
      </c>
      <c r="AG136" s="83">
        <f t="shared" si="73"/>
        <v>625997953.56417501</v>
      </c>
      <c r="AH136" s="83">
        <f t="shared" si="73"/>
        <v>631288726.23797929</v>
      </c>
      <c r="AI136" s="83">
        <f t="shared" si="73"/>
        <v>636181678.27960014</v>
      </c>
      <c r="AJ136" s="83">
        <f t="shared" si="73"/>
        <v>638335769.55368888</v>
      </c>
      <c r="AK136" s="83">
        <f t="shared" si="73"/>
        <v>645268589.21403873</v>
      </c>
      <c r="AL136" s="83">
        <f t="shared" si="73"/>
        <v>650161541.25565958</v>
      </c>
      <c r="AM136" s="83">
        <f t="shared" si="73"/>
        <v>635882467.92455649</v>
      </c>
      <c r="AN136" s="83">
        <f t="shared" si="73"/>
        <v>640775419.96617734</v>
      </c>
      <c r="AO136" s="83">
        <f t="shared" si="73"/>
        <v>645668372.00779819</v>
      </c>
      <c r="AP136" s="83">
        <f t="shared" si="73"/>
        <v>650561324.04941893</v>
      </c>
      <c r="AQ136" s="83">
        <f t="shared" si="73"/>
        <v>655454276.09103966</v>
      </c>
      <c r="AR136" s="83">
        <f t="shared" si="73"/>
        <v>660347228.13266039</v>
      </c>
      <c r="AS136" s="83">
        <f t="shared" si="73"/>
        <v>665240180.17428136</v>
      </c>
      <c r="AT136" s="83">
        <f t="shared" si="73"/>
        <v>670133132.21590209</v>
      </c>
      <c r="AU136" s="83">
        <f t="shared" si="73"/>
        <v>675026084.25752282</v>
      </c>
      <c r="AV136" s="83">
        <f t="shared" si="73"/>
        <v>680618029.44794655</v>
      </c>
      <c r="AW136" s="83">
        <f t="shared" si="73"/>
        <v>685510981.4895674</v>
      </c>
      <c r="AX136" s="83">
        <f t="shared" si="73"/>
        <v>659360110.29026282</v>
      </c>
      <c r="AY136" s="83">
        <f t="shared" si="73"/>
        <v>633908232.23976099</v>
      </c>
      <c r="AZ136" s="83">
        <f t="shared" si="73"/>
        <v>607058367.89165318</v>
      </c>
      <c r="BA136" s="83">
        <f t="shared" si="73"/>
        <v>580907496.69234848</v>
      </c>
      <c r="BB136" s="83">
        <f t="shared" si="73"/>
        <v>554057632.34424078</v>
      </c>
      <c r="BC136" s="83">
        <f t="shared" si="73"/>
        <v>527207767.99613315</v>
      </c>
      <c r="BD136" s="83">
        <f t="shared" si="73"/>
        <v>500357903.64802545</v>
      </c>
      <c r="BE136" s="83">
        <f t="shared" si="73"/>
        <v>472809046.15111476</v>
      </c>
      <c r="BF136" s="83">
        <f t="shared" si="73"/>
        <v>445260188.65420407</v>
      </c>
      <c r="BG136" s="83">
        <f t="shared" si="73"/>
        <v>417711331.15729332</v>
      </c>
      <c r="BH136" s="83">
        <f t="shared" si="73"/>
        <v>390162473.66038269</v>
      </c>
      <c r="BI136" s="83"/>
    </row>
    <row r="137" spans="1:61" s="82" customFormat="1" hidden="1" x14ac:dyDescent="0.2">
      <c r="A137" s="82" t="s">
        <v>739</v>
      </c>
      <c r="B137" s="156">
        <v>1.4999999999999999E-2</v>
      </c>
      <c r="C137" s="156">
        <f xml:space="preserve"> 1 + B137</f>
        <v>1.0149999999999999</v>
      </c>
      <c r="D137" s="156">
        <f xml:space="preserve"> (1 + $B137) * C137</f>
        <v>1.0302249999999997</v>
      </c>
      <c r="E137" s="156">
        <f xml:space="preserve"> (1 + $B137) * D137</f>
        <v>1.0456783749999996</v>
      </c>
      <c r="F137" s="156">
        <f xml:space="preserve"> (1 + $B137) * E137</f>
        <v>1.0613635506249994</v>
      </c>
      <c r="G137" s="156">
        <f t="shared" ref="G137:BH137" si="74" xml:space="preserve"> (1 + $B137) * F137</f>
        <v>1.0772840038843743</v>
      </c>
      <c r="H137" s="156">
        <f t="shared" si="74"/>
        <v>1.0934432639426397</v>
      </c>
      <c r="I137" s="156">
        <f t="shared" si="74"/>
        <v>1.1098449129017791</v>
      </c>
      <c r="J137" s="156">
        <f t="shared" si="74"/>
        <v>1.1264925865953057</v>
      </c>
      <c r="K137" s="156">
        <f t="shared" si="74"/>
        <v>1.1433899753942351</v>
      </c>
      <c r="L137" s="156">
        <f t="shared" si="74"/>
        <v>1.1605408250251485</v>
      </c>
      <c r="M137" s="156">
        <f t="shared" si="74"/>
        <v>1.1779489374005256</v>
      </c>
      <c r="N137" s="156">
        <f t="shared" si="74"/>
        <v>1.1956181714615335</v>
      </c>
      <c r="O137" s="156">
        <f t="shared" si="74"/>
        <v>1.2135524440334564</v>
      </c>
      <c r="P137" s="156">
        <f t="shared" si="74"/>
        <v>1.2317557306939582</v>
      </c>
      <c r="Q137" s="156">
        <f t="shared" si="74"/>
        <v>1.2502320666543674</v>
      </c>
      <c r="R137" s="156">
        <f t="shared" si="74"/>
        <v>1.2689855476541827</v>
      </c>
      <c r="S137" s="156">
        <f t="shared" si="74"/>
        <v>1.2880203308689953</v>
      </c>
      <c r="T137" s="156">
        <f t="shared" si="74"/>
        <v>1.3073406358320301</v>
      </c>
      <c r="U137" s="156">
        <f t="shared" si="74"/>
        <v>1.3269507453695104</v>
      </c>
      <c r="V137" s="156">
        <f t="shared" si="74"/>
        <v>1.3468550065500529</v>
      </c>
      <c r="W137" s="156">
        <f t="shared" si="74"/>
        <v>1.3670578316483035</v>
      </c>
      <c r="X137" s="156">
        <f t="shared" si="74"/>
        <v>1.387563699123028</v>
      </c>
      <c r="Y137" s="156">
        <f t="shared" si="74"/>
        <v>1.4083771546098733</v>
      </c>
      <c r="Z137" s="156">
        <f t="shared" si="74"/>
        <v>1.4295028119290214</v>
      </c>
      <c r="AA137" s="156">
        <f t="shared" si="74"/>
        <v>1.4509453541079567</v>
      </c>
      <c r="AB137" s="156">
        <f t="shared" si="74"/>
        <v>1.472709534419576</v>
      </c>
      <c r="AC137" s="156">
        <f t="shared" si="74"/>
        <v>1.4948001774358695</v>
      </c>
      <c r="AD137" s="156">
        <f t="shared" si="74"/>
        <v>1.5172221800974073</v>
      </c>
      <c r="AE137" s="156">
        <f t="shared" si="74"/>
        <v>1.5399805127988682</v>
      </c>
      <c r="AF137" s="156">
        <f t="shared" si="74"/>
        <v>1.5630802204908509</v>
      </c>
      <c r="AG137" s="156">
        <f t="shared" si="74"/>
        <v>1.5865264237982135</v>
      </c>
      <c r="AH137" s="156">
        <f t="shared" si="74"/>
        <v>1.6103243201551867</v>
      </c>
      <c r="AI137" s="156">
        <f t="shared" si="74"/>
        <v>1.6344791849575142</v>
      </c>
      <c r="AJ137" s="156">
        <f t="shared" si="74"/>
        <v>1.6589963727318768</v>
      </c>
      <c r="AK137" s="156">
        <f t="shared" si="74"/>
        <v>1.6838813183228549</v>
      </c>
      <c r="AL137" s="156">
        <f t="shared" si="74"/>
        <v>1.7091395380976975</v>
      </c>
      <c r="AM137" s="156">
        <f t="shared" si="74"/>
        <v>1.7347766311691628</v>
      </c>
      <c r="AN137" s="156">
        <f t="shared" si="74"/>
        <v>1.7607982806367002</v>
      </c>
      <c r="AO137" s="156">
        <f t="shared" si="74"/>
        <v>1.7872102548462505</v>
      </c>
      <c r="AP137" s="156">
        <f t="shared" si="74"/>
        <v>1.8140184086689441</v>
      </c>
      <c r="AQ137" s="156">
        <f t="shared" si="74"/>
        <v>1.8412286847989781</v>
      </c>
      <c r="AR137" s="156">
        <f t="shared" si="74"/>
        <v>1.8688471150709625</v>
      </c>
      <c r="AS137" s="156">
        <f t="shared" si="74"/>
        <v>1.8968798217970266</v>
      </c>
      <c r="AT137" s="156">
        <f t="shared" si="74"/>
        <v>1.9253330191239819</v>
      </c>
      <c r="AU137" s="156">
        <f t="shared" si="74"/>
        <v>1.9542130144108414</v>
      </c>
      <c r="AV137" s="156">
        <f t="shared" si="74"/>
        <v>1.9835262096270039</v>
      </c>
      <c r="AW137" s="156">
        <f t="shared" si="74"/>
        <v>2.0132791027714085</v>
      </c>
      <c r="AX137" s="156">
        <f t="shared" si="74"/>
        <v>2.0434782893129793</v>
      </c>
      <c r="AY137" s="156">
        <f t="shared" si="74"/>
        <v>2.0741304636526738</v>
      </c>
      <c r="AZ137" s="156">
        <f t="shared" si="74"/>
        <v>2.1052424206074636</v>
      </c>
      <c r="BA137" s="156">
        <f t="shared" si="74"/>
        <v>2.1368210569165753</v>
      </c>
      <c r="BB137" s="156">
        <f t="shared" si="74"/>
        <v>2.1688733727703235</v>
      </c>
      <c r="BC137" s="156">
        <f t="shared" si="74"/>
        <v>2.2014064733618781</v>
      </c>
      <c r="BD137" s="156">
        <f t="shared" si="74"/>
        <v>2.234427570462306</v>
      </c>
      <c r="BE137" s="156">
        <f t="shared" si="74"/>
        <v>2.2679439840192406</v>
      </c>
      <c r="BF137" s="156">
        <f t="shared" si="74"/>
        <v>2.3019631437795289</v>
      </c>
      <c r="BG137" s="156">
        <f t="shared" si="74"/>
        <v>2.3364925909362215</v>
      </c>
      <c r="BH137" s="156">
        <f t="shared" si="74"/>
        <v>2.3715399798002648</v>
      </c>
      <c r="BI137" s="83"/>
    </row>
    <row r="138" spans="1:61" s="82" customFormat="1" hidden="1" x14ac:dyDescent="0.2">
      <c r="A138" s="82" t="s">
        <v>740</v>
      </c>
      <c r="B138" s="156"/>
      <c r="C138" s="83">
        <f xml:space="preserve"> C136 * C137</f>
        <v>0</v>
      </c>
      <c r="D138" s="83">
        <f xml:space="preserve"> D136 * D137</f>
        <v>26351306.545271933</v>
      </c>
      <c r="E138" s="83">
        <f t="shared" ref="E138:BH138" si="75" xml:space="preserve"> E136 * E137</f>
        <v>73299390.482419014</v>
      </c>
      <c r="F138" s="83">
        <f t="shared" si="75"/>
        <v>118623266.28334408</v>
      </c>
      <c r="G138" s="83">
        <f t="shared" si="75"/>
        <v>170459465.48852333</v>
      </c>
      <c r="H138" s="83">
        <f t="shared" si="75"/>
        <v>252748394.68879437</v>
      </c>
      <c r="I138" s="83">
        <f t="shared" si="75"/>
        <v>314671800.36341041</v>
      </c>
      <c r="J138" s="83">
        <f t="shared" si="75"/>
        <v>381338843.9676379</v>
      </c>
      <c r="K138" s="83">
        <f t="shared" si="75"/>
        <v>447747373.27372062</v>
      </c>
      <c r="L138" s="83">
        <f t="shared" si="75"/>
        <v>648222542.85206103</v>
      </c>
      <c r="M138" s="83">
        <f t="shared" si="75"/>
        <v>721165057.87883592</v>
      </c>
      <c r="N138" s="83">
        <f t="shared" si="75"/>
        <v>811230025.5666151</v>
      </c>
      <c r="O138" s="83">
        <f t="shared" si="75"/>
        <v>715468142.31616557</v>
      </c>
      <c r="P138" s="83">
        <f t="shared" si="75"/>
        <v>788723708.12092185</v>
      </c>
      <c r="Q138" s="83">
        <f t="shared" si="75"/>
        <v>867282016.78132105</v>
      </c>
      <c r="R138" s="83">
        <f t="shared" si="75"/>
        <v>788865409.20524228</v>
      </c>
      <c r="S138" s="83">
        <f t="shared" si="75"/>
        <v>821184736.90253246</v>
      </c>
      <c r="T138" s="83">
        <f t="shared" si="75"/>
        <v>857828459.58852422</v>
      </c>
      <c r="U138" s="83">
        <f t="shared" si="75"/>
        <v>875009677.36830962</v>
      </c>
      <c r="V138" s="83">
        <f t="shared" si="75"/>
        <v>894724919.4829005</v>
      </c>
      <c r="W138" s="83">
        <f t="shared" si="75"/>
        <v>914834741.68352127</v>
      </c>
      <c r="X138" s="83">
        <f t="shared" si="75"/>
        <v>935346545.44327676</v>
      </c>
      <c r="Y138" s="83">
        <f t="shared" si="75"/>
        <v>956267865.49894631</v>
      </c>
      <c r="Z138" s="83">
        <f t="shared" si="75"/>
        <v>983868892.13681638</v>
      </c>
      <c r="AA138" s="83">
        <f t="shared" si="75"/>
        <v>1000384074.6607862</v>
      </c>
      <c r="AB138" s="83">
        <f t="shared" si="75"/>
        <v>1022595732.9038507</v>
      </c>
      <c r="AC138" s="83">
        <f t="shared" si="75"/>
        <v>1045248654.4774083</v>
      </c>
      <c r="AD138" s="83">
        <f t="shared" si="75"/>
        <v>1072506539.9629674</v>
      </c>
      <c r="AE138" s="83">
        <f t="shared" si="75"/>
        <v>1092987832.475035</v>
      </c>
      <c r="AF138" s="83">
        <f t="shared" si="75"/>
        <v>1121311785.610636</v>
      </c>
      <c r="AG138" s="83">
        <f t="shared" si="75"/>
        <v>993162294.57317066</v>
      </c>
      <c r="AH138" s="83">
        <f t="shared" si="75"/>
        <v>1016579588.9008077</v>
      </c>
      <c r="AI138" s="83">
        <f t="shared" si="75"/>
        <v>1039825710.9993443</v>
      </c>
      <c r="AJ138" s="83">
        <f t="shared" si="75"/>
        <v>1058996726.2745811</v>
      </c>
      <c r="AK138" s="83">
        <f t="shared" si="75"/>
        <v>1086555722.6780643</v>
      </c>
      <c r="AL138" s="83">
        <f t="shared" si="75"/>
        <v>1111216796.310585</v>
      </c>
      <c r="AM138" s="83">
        <f t="shared" si="75"/>
        <v>1103114045.5256953</v>
      </c>
      <c r="AN138" s="83">
        <f t="shared" si="75"/>
        <v>1128276257.7507045</v>
      </c>
      <c r="AO138" s="83">
        <f t="shared" si="75"/>
        <v>1153945135.6822207</v>
      </c>
      <c r="AP138" s="83">
        <f t="shared" si="75"/>
        <v>1180130217.7936883</v>
      </c>
      <c r="AQ138" s="83">
        <f t="shared" si="75"/>
        <v>1206841214.7129712</v>
      </c>
      <c r="AR138" s="83">
        <f t="shared" si="75"/>
        <v>1234088012.240829</v>
      </c>
      <c r="AS138" s="83">
        <f t="shared" si="75"/>
        <v>1261880674.4212127</v>
      </c>
      <c r="AT138" s="83">
        <f t="shared" si="75"/>
        <v>1290229446.6642532</v>
      </c>
      <c r="AU138" s="83">
        <f t="shared" si="75"/>
        <v>1319144758.9228404</v>
      </c>
      <c r="AV138" s="83">
        <f t="shared" si="75"/>
        <v>1350023700.154686</v>
      </c>
      <c r="AW138" s="83">
        <f t="shared" si="75"/>
        <v>1380124933.753264</v>
      </c>
      <c r="AX138" s="83">
        <f t="shared" si="75"/>
        <v>1347388070.2171636</v>
      </c>
      <c r="AY138" s="83">
        <f t="shared" si="75"/>
        <v>1314808375.6487024</v>
      </c>
      <c r="AZ138" s="83">
        <f t="shared" si="75"/>
        <v>1278005027.87024</v>
      </c>
      <c r="BA138" s="83">
        <f t="shared" si="75"/>
        <v>1241295371.052906</v>
      </c>
      <c r="BB138" s="83">
        <f t="shared" si="75"/>
        <v>1201680845.7715933</v>
      </c>
      <c r="BC138" s="83">
        <f t="shared" si="75"/>
        <v>1160598593.2733548</v>
      </c>
      <c r="BD138" s="83">
        <f t="shared" si="75"/>
        <v>1118013495.0098701</v>
      </c>
      <c r="BE138" s="83">
        <f t="shared" si="75"/>
        <v>1072304431.8082962</v>
      </c>
      <c r="BF138" s="83">
        <f t="shared" si="75"/>
        <v>1024972543.6742977</v>
      </c>
      <c r="BG138" s="83">
        <f t="shared" si="75"/>
        <v>975979430.39912236</v>
      </c>
      <c r="BH138" s="83">
        <f t="shared" si="75"/>
        <v>925285904.90336525</v>
      </c>
      <c r="BI138" s="83"/>
    </row>
    <row r="139" spans="1:61" s="104" customFormat="1" hidden="1" x14ac:dyDescent="0.2">
      <c r="B139" s="160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</row>
    <row r="140" spans="1:61" s="82" customFormat="1" hidden="1" x14ac:dyDescent="0.2">
      <c r="A140" s="82" t="s">
        <v>28</v>
      </c>
      <c r="B140" s="156"/>
      <c r="C140" s="83">
        <f>SUM(C8,C16:C17,C24:C25,C30,C40:C41,C49:C50,C76:C77,C82,C92:C93,C64,C69,C112)</f>
        <v>2371160</v>
      </c>
      <c r="D140" s="83">
        <f t="shared" ref="D140:BH140" si="76">SUM(D8,D16:D17,D24:D25,D30,D40:D41,D49:D50,D76:D77,D82,D92:D93,D64,D69,D112)</f>
        <v>2371160</v>
      </c>
      <c r="E140" s="83">
        <f t="shared" si="76"/>
        <v>2371160</v>
      </c>
      <c r="F140" s="83">
        <f t="shared" si="76"/>
        <v>18190476.022811763</v>
      </c>
      <c r="G140" s="83">
        <f t="shared" si="76"/>
        <v>34981930.069033712</v>
      </c>
      <c r="H140" s="83">
        <f t="shared" si="76"/>
        <v>57498701.765249431</v>
      </c>
      <c r="I140" s="83">
        <f t="shared" si="76"/>
        <v>80740907.797545686</v>
      </c>
      <c r="J140" s="83">
        <f t="shared" si="76"/>
        <v>106543151.54498461</v>
      </c>
      <c r="K140" s="83">
        <f t="shared" si="76"/>
        <v>133990570.71699832</v>
      </c>
      <c r="L140" s="83">
        <f t="shared" si="76"/>
        <v>162676335.69854659</v>
      </c>
      <c r="M140" s="83">
        <f t="shared" si="76"/>
        <v>290481696.10956275</v>
      </c>
      <c r="N140" s="83">
        <f t="shared" si="76"/>
        <v>318824859.37709892</v>
      </c>
      <c r="O140" s="83">
        <f t="shared" si="76"/>
        <v>348714427.89731139</v>
      </c>
      <c r="P140" s="83">
        <f t="shared" si="76"/>
        <v>376529009.95438707</v>
      </c>
      <c r="Q140" s="83">
        <f t="shared" si="76"/>
        <v>405527858.09255785</v>
      </c>
      <c r="R140" s="83">
        <f t="shared" si="76"/>
        <v>436134110.02125585</v>
      </c>
      <c r="S140" s="83">
        <f t="shared" si="76"/>
        <v>464704149.20101225</v>
      </c>
      <c r="T140" s="83">
        <f t="shared" si="76"/>
        <v>494243459.91098708</v>
      </c>
      <c r="U140" s="83">
        <f t="shared" si="76"/>
        <v>516379846.01283407</v>
      </c>
      <c r="V140" s="83">
        <f t="shared" si="76"/>
        <v>534334032.20862561</v>
      </c>
      <c r="W140" s="83">
        <f t="shared" si="76"/>
        <v>552402375.06516004</v>
      </c>
      <c r="X140" s="83">
        <f t="shared" si="76"/>
        <v>570584874.58243752</v>
      </c>
      <c r="Y140" s="83">
        <f t="shared" si="76"/>
        <v>588881530.76045799</v>
      </c>
      <c r="Z140" s="83">
        <f t="shared" si="76"/>
        <v>607292343.59922147</v>
      </c>
      <c r="AA140" s="83">
        <f t="shared" si="76"/>
        <v>630544642.47925222</v>
      </c>
      <c r="AB140" s="83">
        <f t="shared" si="76"/>
        <v>649200076.73389351</v>
      </c>
      <c r="AC140" s="83">
        <f t="shared" si="76"/>
        <v>667969667.64927769</v>
      </c>
      <c r="AD140" s="83">
        <f t="shared" si="76"/>
        <v>686853415.22540486</v>
      </c>
      <c r="AE140" s="83">
        <f t="shared" si="76"/>
        <v>706282292.27600098</v>
      </c>
      <c r="AF140" s="83">
        <f t="shared" si="76"/>
        <v>725410661.26800585</v>
      </c>
      <c r="AG140" s="83">
        <f t="shared" si="76"/>
        <v>745084159.7344799</v>
      </c>
      <c r="AH140" s="83">
        <f t="shared" si="76"/>
        <v>766149698.86594737</v>
      </c>
      <c r="AI140" s="83">
        <f t="shared" si="76"/>
        <v>783447702.8106935</v>
      </c>
      <c r="AJ140" s="83">
        <f t="shared" si="76"/>
        <v>800859863.4161824</v>
      </c>
      <c r="AK140" s="83">
        <f t="shared" si="76"/>
        <v>817955207.86868846</v>
      </c>
      <c r="AL140" s="83">
        <f t="shared" si="76"/>
        <v>835579373.70127153</v>
      </c>
      <c r="AM140" s="83">
        <f t="shared" si="76"/>
        <v>853317696.19459772</v>
      </c>
      <c r="AN140" s="83">
        <f t="shared" si="76"/>
        <v>875466531.91546535</v>
      </c>
      <c r="AO140" s="83">
        <f t="shared" si="76"/>
        <v>893433167.7302773</v>
      </c>
      <c r="AP140" s="83">
        <f t="shared" si="76"/>
        <v>911513960.20583248</v>
      </c>
      <c r="AQ140" s="83">
        <f t="shared" si="76"/>
        <v>929708909.34213042</v>
      </c>
      <c r="AR140" s="83">
        <f t="shared" si="76"/>
        <v>948018015.13917136</v>
      </c>
      <c r="AS140" s="83">
        <f t="shared" si="76"/>
        <v>966441277.5969553</v>
      </c>
      <c r="AT140" s="83">
        <f t="shared" si="76"/>
        <v>984978696.71548223</v>
      </c>
      <c r="AU140" s="83">
        <f t="shared" si="76"/>
        <v>1007926629.0615507</v>
      </c>
      <c r="AV140" s="83">
        <f t="shared" si="76"/>
        <v>1027123334.3152896</v>
      </c>
      <c r="AW140" s="83">
        <f t="shared" si="76"/>
        <v>1046019531.5104373</v>
      </c>
      <c r="AX140" s="83">
        <f t="shared" si="76"/>
        <v>1056229005.366328</v>
      </c>
      <c r="AY140" s="83">
        <f t="shared" si="76"/>
        <v>1066259330.353525</v>
      </c>
      <c r="AZ140" s="83">
        <f t="shared" si="76"/>
        <v>1074833896.1252422</v>
      </c>
      <c r="BA140" s="83">
        <f t="shared" si="76"/>
        <v>1087509361.5006726</v>
      </c>
      <c r="BB140" s="83">
        <f t="shared" si="76"/>
        <v>1094847375.8131588</v>
      </c>
      <c r="BC140" s="83">
        <f t="shared" si="76"/>
        <v>1101558960.3488333</v>
      </c>
      <c r="BD140" s="83">
        <f t="shared" si="76"/>
        <v>1107644115.1076965</v>
      </c>
      <c r="BE140" s="83">
        <f t="shared" si="76"/>
        <v>1112671867.2760222</v>
      </c>
      <c r="BF140" s="83">
        <f t="shared" si="76"/>
        <v>1117056881.5731444</v>
      </c>
      <c r="BG140" s="83">
        <f t="shared" si="76"/>
        <v>1120799157.9990635</v>
      </c>
      <c r="BH140" s="83">
        <f t="shared" si="76"/>
        <v>1128195053.1205778</v>
      </c>
      <c r="BI140" s="83"/>
    </row>
    <row r="141" spans="1:61" hidden="1" x14ac:dyDescent="0.2">
      <c r="A141" t="s">
        <v>649</v>
      </c>
      <c r="B141" s="31"/>
      <c r="C141" s="10">
        <f t="shared" ref="C141:BH141" si="77">C135-C140</f>
        <v>-2371160</v>
      </c>
      <c r="D141" s="10">
        <f t="shared" si="77"/>
        <v>-2371160</v>
      </c>
      <c r="E141" s="10">
        <f t="shared" si="77"/>
        <v>-2371160</v>
      </c>
      <c r="F141" s="10">
        <f t="shared" si="77"/>
        <v>3062299.3735919669</v>
      </c>
      <c r="G141" s="10">
        <f t="shared" si="77"/>
        <v>11017103.026683457</v>
      </c>
      <c r="H141" s="10">
        <f t="shared" si="77"/>
        <v>34654043.207690895</v>
      </c>
      <c r="I141" s="10">
        <f t="shared" si="77"/>
        <v>63523269.446783885</v>
      </c>
      <c r="J141" s="10">
        <f t="shared" si="77"/>
        <v>94609003.026036352</v>
      </c>
      <c r="K141" s="10">
        <f t="shared" si="77"/>
        <v>128826106.23601614</v>
      </c>
      <c r="L141" s="10">
        <f t="shared" si="77"/>
        <v>166627463.22494775</v>
      </c>
      <c r="M141" s="10">
        <f t="shared" si="77"/>
        <v>219447038.88441539</v>
      </c>
      <c r="N141" s="10">
        <f t="shared" si="77"/>
        <v>264034064.6845541</v>
      </c>
      <c r="O141" s="10">
        <f t="shared" si="77"/>
        <v>312019117.42128199</v>
      </c>
      <c r="P141" s="10">
        <f t="shared" si="77"/>
        <v>356796673.21001136</v>
      </c>
      <c r="Q141" s="10">
        <f t="shared" si="77"/>
        <v>404311703.54687089</v>
      </c>
      <c r="R141" s="10">
        <f t="shared" si="77"/>
        <v>454141070.7224288</v>
      </c>
      <c r="S141" s="10">
        <f t="shared" si="77"/>
        <v>505507865.30419576</v>
      </c>
      <c r="T141" s="10">
        <f t="shared" si="77"/>
        <v>560073235.7124486</v>
      </c>
      <c r="U141" s="10">
        <f t="shared" si="77"/>
        <v>615300997.03390718</v>
      </c>
      <c r="V141" s="10">
        <f t="shared" si="77"/>
        <v>665144753.44999814</v>
      </c>
      <c r="W141" s="10">
        <f t="shared" si="77"/>
        <v>715789534.01892257</v>
      </c>
      <c r="X141" s="10">
        <f t="shared" si="77"/>
        <v>767235338.74068046</v>
      </c>
      <c r="Y141" s="10">
        <f t="shared" si="77"/>
        <v>819482167.61527228</v>
      </c>
      <c r="Z141" s="10">
        <f t="shared" si="77"/>
        <v>872530020.64269781</v>
      </c>
      <c r="AA141" s="10">
        <f t="shared" si="77"/>
        <v>935710251.50409067</v>
      </c>
      <c r="AB141" s="10">
        <f t="shared" si="77"/>
        <v>990538867.69249642</v>
      </c>
      <c r="AC141" s="10">
        <f t="shared" si="77"/>
        <v>1046168508.0337358</v>
      </c>
      <c r="AD141" s="10">
        <f t="shared" si="77"/>
        <v>1102599172.5278091</v>
      </c>
      <c r="AE141" s="10">
        <f t="shared" si="77"/>
        <v>1162400177.5887301</v>
      </c>
      <c r="AF141" s="10">
        <f t="shared" si="77"/>
        <v>1220504979.6187835</v>
      </c>
      <c r="AG141" s="10">
        <f t="shared" si="77"/>
        <v>1282064807.7987258</v>
      </c>
      <c r="AH141" s="10">
        <f t="shared" si="77"/>
        <v>1342861876.0536323</v>
      </c>
      <c r="AI141" s="10">
        <f t="shared" si="77"/>
        <v>1399513061.8364341</v>
      </c>
      <c r="AJ141" s="10">
        <f t="shared" si="77"/>
        <v>1456965271.7720699</v>
      </c>
      <c r="AK141" s="10">
        <f t="shared" si="77"/>
        <v>1512395132.697402</v>
      </c>
      <c r="AL141" s="10">
        <f t="shared" si="77"/>
        <v>1571377301.7083917</v>
      </c>
      <c r="AM141" s="10">
        <f t="shared" si="77"/>
        <v>1631160494.8722153</v>
      </c>
      <c r="AN141" s="10">
        <f t="shared" si="77"/>
        <v>1700062253.7470741</v>
      </c>
      <c r="AO141" s="10">
        <f t="shared" si="77"/>
        <v>1761554120.8415658</v>
      </c>
      <c r="AP141" s="10">
        <f t="shared" si="77"/>
        <v>1823847012.0888906</v>
      </c>
      <c r="AQ141" s="10">
        <f t="shared" si="77"/>
        <v>1886940927.4890487</v>
      </c>
      <c r="AR141" s="10">
        <f t="shared" si="77"/>
        <v>1950835867.0420411</v>
      </c>
      <c r="AS141" s="10">
        <f t="shared" si="77"/>
        <v>2015531830.7478671</v>
      </c>
      <c r="AT141" s="10">
        <f t="shared" si="77"/>
        <v>2081028818.6065273</v>
      </c>
      <c r="AU141" s="10">
        <f t="shared" si="77"/>
        <v>2156390751.5512223</v>
      </c>
      <c r="AV141" s="10">
        <f t="shared" si="77"/>
        <v>2226885557.210412</v>
      </c>
      <c r="AW141" s="10">
        <f t="shared" si="77"/>
        <v>2294964332.3828859</v>
      </c>
      <c r="AX141" s="10">
        <f t="shared" si="77"/>
        <v>2359875465.0092878</v>
      </c>
      <c r="AY141" s="10">
        <f t="shared" si="77"/>
        <v>2427682689.2560315</v>
      </c>
      <c r="AZ141" s="10">
        <f t="shared" si="77"/>
        <v>2488167234.8286343</v>
      </c>
      <c r="BA141" s="10">
        <f t="shared" si="77"/>
        <v>2561221800.2659874</v>
      </c>
      <c r="BB141" s="10">
        <f t="shared" si="77"/>
        <v>2620616035.4020672</v>
      </c>
      <c r="BC141" s="10">
        <f t="shared" si="77"/>
        <v>2679375757.8922319</v>
      </c>
      <c r="BD141" s="10">
        <f t="shared" si="77"/>
        <v>2737500967.7364783</v>
      </c>
      <c r="BE141" s="10">
        <f t="shared" si="77"/>
        <v>2791321435.9412603</v>
      </c>
      <c r="BF141" s="10">
        <f t="shared" si="77"/>
        <v>2844392959.478291</v>
      </c>
      <c r="BG141" s="10">
        <f t="shared" si="77"/>
        <v>2896715538.3475709</v>
      </c>
      <c r="BH141" s="10">
        <f t="shared" si="77"/>
        <v>2958739226.6073022</v>
      </c>
      <c r="BI141" s="10"/>
    </row>
    <row r="142" spans="1:61" hidden="1" x14ac:dyDescent="0.2">
      <c r="A142" t="s">
        <v>29</v>
      </c>
      <c r="B142" s="31"/>
      <c r="C142" s="10">
        <f>C141</f>
        <v>-2371160</v>
      </c>
      <c r="D142" s="10">
        <f>SUM($C141:D141)</f>
        <v>-4742320</v>
      </c>
      <c r="E142" s="10">
        <f>SUM($C141:E141)</f>
        <v>-7113480</v>
      </c>
      <c r="F142" s="10">
        <f>SUM($C141:F141)</f>
        <v>-4051180.6264080331</v>
      </c>
      <c r="G142" s="10">
        <f>SUM($C141:G141)</f>
        <v>6965922.4002754241</v>
      </c>
      <c r="H142" s="10">
        <f>SUM($C141:H141)</f>
        <v>41619965.607966319</v>
      </c>
      <c r="I142" s="10">
        <f>SUM($C141:I141)</f>
        <v>105143235.0547502</v>
      </c>
      <c r="J142" s="10">
        <f>SUM($C141:J141)</f>
        <v>199752238.08078656</v>
      </c>
      <c r="K142" s="10">
        <f>SUM($C141:K141)</f>
        <v>328578344.31680268</v>
      </c>
      <c r="L142" s="10">
        <f>SUM($C141:L141)</f>
        <v>495205807.54175043</v>
      </c>
      <c r="M142" s="10">
        <f>SUM($C141:M141)</f>
        <v>714652846.42616582</v>
      </c>
      <c r="N142" s="10">
        <f>SUM($C141:N141)</f>
        <v>978686911.11071992</v>
      </c>
      <c r="O142" s="10">
        <f>SUM($C141:O141)</f>
        <v>1290706028.532002</v>
      </c>
      <c r="P142" s="10">
        <f>SUM($C141:P141)</f>
        <v>1647502701.7420135</v>
      </c>
      <c r="Q142" s="10">
        <f>SUM($C141:Q141)</f>
        <v>2051814405.2888844</v>
      </c>
      <c r="R142" s="10">
        <f>SUM($C141:R141)</f>
        <v>2505955476.0113134</v>
      </c>
      <c r="S142" s="10">
        <f>SUM($C141:S141)</f>
        <v>3011463341.3155093</v>
      </c>
      <c r="T142" s="10">
        <f>SUM($C141:T141)</f>
        <v>3571536577.0279579</v>
      </c>
      <c r="U142" s="10">
        <f>SUM($C141:U141)</f>
        <v>4186837574.0618649</v>
      </c>
      <c r="V142" s="10">
        <f>SUM($C141:V141)</f>
        <v>4851982327.5118628</v>
      </c>
      <c r="W142" s="10">
        <f>SUM($C141:W141)</f>
        <v>5567771861.5307856</v>
      </c>
      <c r="X142" s="10">
        <f>SUM($C141:X141)</f>
        <v>6335007200.2714663</v>
      </c>
      <c r="Y142" s="10">
        <f>SUM($C141:Y141)</f>
        <v>7154489367.8867388</v>
      </c>
      <c r="Z142" s="10">
        <f>SUM($C141:Z141)</f>
        <v>8027019388.5294361</v>
      </c>
      <c r="AA142" s="10">
        <f>SUM($C141:AA141)</f>
        <v>8962729640.0335274</v>
      </c>
      <c r="AB142" s="10">
        <f>SUM($C141:AB141)</f>
        <v>9953268507.7260246</v>
      </c>
      <c r="AC142" s="10">
        <f>SUM($C141:AC141)</f>
        <v>10999437015.75976</v>
      </c>
      <c r="AD142" s="10">
        <f>SUM($C141:AD141)</f>
        <v>12102036188.287569</v>
      </c>
      <c r="AE142" s="10">
        <f>SUM($C141:AE141)</f>
        <v>13264436365.876299</v>
      </c>
      <c r="AF142" s="10">
        <f>SUM($C141:AF141)</f>
        <v>14484941345.495083</v>
      </c>
      <c r="AG142" s="10">
        <f>SUM($C141:AG141)</f>
        <v>15767006153.293808</v>
      </c>
      <c r="AH142" s="10">
        <f>SUM($C141:AH141)</f>
        <v>17109868029.347441</v>
      </c>
      <c r="AI142" s="10">
        <f>SUM($C141:AI141)</f>
        <v>18509381091.183876</v>
      </c>
      <c r="AJ142" s="10">
        <f>SUM($C141:AJ141)</f>
        <v>19966346362.955948</v>
      </c>
      <c r="AK142" s="10">
        <f>SUM($C141:AK141)</f>
        <v>21478741495.653351</v>
      </c>
      <c r="AL142" s="10">
        <f>SUM($C141:AL141)</f>
        <v>23050118797.361744</v>
      </c>
      <c r="AM142" s="10">
        <f>SUM($C141:AM141)</f>
        <v>24681279292.233959</v>
      </c>
      <c r="AN142" s="10">
        <f>SUM($C141:AN141)</f>
        <v>26381341545.981033</v>
      </c>
      <c r="AO142" s="10">
        <f>SUM($C141:AO141)</f>
        <v>28142895666.822598</v>
      </c>
      <c r="AP142" s="10">
        <f>SUM($C141:AP141)</f>
        <v>29966742678.911488</v>
      </c>
      <c r="AQ142" s="10">
        <f>SUM($C141:AQ141)</f>
        <v>31853683606.400536</v>
      </c>
      <c r="AR142" s="10">
        <f>SUM($C141:AR141)</f>
        <v>33804519473.442577</v>
      </c>
      <c r="AS142" s="10">
        <f>SUM($C141:AS141)</f>
        <v>35820051304.190445</v>
      </c>
      <c r="AT142" s="10">
        <f>SUM($C141:AT141)</f>
        <v>37901080122.796974</v>
      </c>
      <c r="AU142" s="10">
        <f>SUM($C141:AU141)</f>
        <v>40057470874.348198</v>
      </c>
      <c r="AV142" s="10">
        <f>SUM($C141:AV141)</f>
        <v>42284356431.558609</v>
      </c>
      <c r="AW142" s="10">
        <f>SUM($C141:AW141)</f>
        <v>44579320763.941498</v>
      </c>
      <c r="AX142" s="10">
        <f>SUM($C141:AX141)</f>
        <v>46939196228.950783</v>
      </c>
      <c r="AY142" s="10">
        <f>SUM($C141:AY141)</f>
        <v>49366878918.206818</v>
      </c>
      <c r="AZ142" s="10">
        <f>SUM($C141:AZ141)</f>
        <v>51855046153.035454</v>
      </c>
      <c r="BA142" s="10">
        <f>SUM($C141:BA141)</f>
        <v>54416267953.301437</v>
      </c>
      <c r="BB142" s="10">
        <f>SUM($C141:BB141)</f>
        <v>57036883988.703506</v>
      </c>
      <c r="BC142" s="10">
        <f>SUM($C141:BC141)</f>
        <v>59716259746.595741</v>
      </c>
      <c r="BD142" s="10">
        <f>SUM($C141:BD141)</f>
        <v>62453760714.332222</v>
      </c>
      <c r="BE142" s="10">
        <f>SUM($C141:BE141)</f>
        <v>65245082150.273483</v>
      </c>
      <c r="BF142" s="10">
        <f>SUM($C141:BF141)</f>
        <v>68089475109.751778</v>
      </c>
      <c r="BG142" s="10">
        <f>SUM($C141:BG141)</f>
        <v>70986190648.09935</v>
      </c>
      <c r="BH142" s="10">
        <f>SUM($C141:BH141)</f>
        <v>73944929874.70665</v>
      </c>
      <c r="BI142" s="10"/>
    </row>
    <row r="143" spans="1:61" hidden="1" x14ac:dyDescent="0.2">
      <c r="A143" s="6" t="s">
        <v>30</v>
      </c>
      <c r="B143" s="161"/>
      <c r="C143" s="10">
        <f t="shared" ref="C143:BH143" si="78">IF(C135-C140&gt;0,C135-C140,0)</f>
        <v>0</v>
      </c>
      <c r="D143" s="10">
        <f t="shared" si="78"/>
        <v>0</v>
      </c>
      <c r="E143" s="10">
        <f t="shared" si="78"/>
        <v>0</v>
      </c>
      <c r="F143" s="10">
        <f t="shared" si="78"/>
        <v>3062299.3735919669</v>
      </c>
      <c r="G143" s="10">
        <f t="shared" si="78"/>
        <v>11017103.026683457</v>
      </c>
      <c r="H143" s="10">
        <f t="shared" si="78"/>
        <v>34654043.207690895</v>
      </c>
      <c r="I143" s="10">
        <f t="shared" si="78"/>
        <v>63523269.446783885</v>
      </c>
      <c r="J143" s="10">
        <f t="shared" si="78"/>
        <v>94609003.026036352</v>
      </c>
      <c r="K143" s="10">
        <f t="shared" si="78"/>
        <v>128826106.23601614</v>
      </c>
      <c r="L143" s="10">
        <f t="shared" si="78"/>
        <v>166627463.22494775</v>
      </c>
      <c r="M143" s="10">
        <f t="shared" si="78"/>
        <v>219447038.88441539</v>
      </c>
      <c r="N143" s="10">
        <f t="shared" si="78"/>
        <v>264034064.6845541</v>
      </c>
      <c r="O143" s="10">
        <f t="shared" si="78"/>
        <v>312019117.42128199</v>
      </c>
      <c r="P143" s="10">
        <f t="shared" si="78"/>
        <v>356796673.21001136</v>
      </c>
      <c r="Q143" s="10">
        <f t="shared" si="78"/>
        <v>404311703.54687089</v>
      </c>
      <c r="R143" s="10">
        <f t="shared" si="78"/>
        <v>454141070.7224288</v>
      </c>
      <c r="S143" s="10">
        <f t="shared" si="78"/>
        <v>505507865.30419576</v>
      </c>
      <c r="T143" s="10">
        <f t="shared" si="78"/>
        <v>560073235.7124486</v>
      </c>
      <c r="U143" s="10">
        <f t="shared" si="78"/>
        <v>615300997.03390718</v>
      </c>
      <c r="V143" s="10">
        <f t="shared" si="78"/>
        <v>665144753.44999814</v>
      </c>
      <c r="W143" s="10">
        <f t="shared" si="78"/>
        <v>715789534.01892257</v>
      </c>
      <c r="X143" s="10">
        <f t="shared" si="78"/>
        <v>767235338.74068046</v>
      </c>
      <c r="Y143" s="10">
        <f t="shared" si="78"/>
        <v>819482167.61527228</v>
      </c>
      <c r="Z143" s="10">
        <f t="shared" si="78"/>
        <v>872530020.64269781</v>
      </c>
      <c r="AA143" s="10">
        <f t="shared" si="78"/>
        <v>935710251.50409067</v>
      </c>
      <c r="AB143" s="10">
        <f t="shared" si="78"/>
        <v>990538867.69249642</v>
      </c>
      <c r="AC143" s="10">
        <f t="shared" si="78"/>
        <v>1046168508.0337358</v>
      </c>
      <c r="AD143" s="10">
        <f t="shared" si="78"/>
        <v>1102599172.5278091</v>
      </c>
      <c r="AE143" s="10">
        <f t="shared" si="78"/>
        <v>1162400177.5887301</v>
      </c>
      <c r="AF143" s="10">
        <f t="shared" si="78"/>
        <v>1220504979.6187835</v>
      </c>
      <c r="AG143" s="10">
        <f t="shared" si="78"/>
        <v>1282064807.7987258</v>
      </c>
      <c r="AH143" s="10">
        <f t="shared" si="78"/>
        <v>1342861876.0536323</v>
      </c>
      <c r="AI143" s="10">
        <f t="shared" si="78"/>
        <v>1399513061.8364341</v>
      </c>
      <c r="AJ143" s="10">
        <f t="shared" si="78"/>
        <v>1456965271.7720699</v>
      </c>
      <c r="AK143" s="10">
        <f t="shared" si="78"/>
        <v>1512395132.697402</v>
      </c>
      <c r="AL143" s="10">
        <f t="shared" si="78"/>
        <v>1571377301.7083917</v>
      </c>
      <c r="AM143" s="10">
        <f t="shared" si="78"/>
        <v>1631160494.8722153</v>
      </c>
      <c r="AN143" s="10">
        <f t="shared" si="78"/>
        <v>1700062253.7470741</v>
      </c>
      <c r="AO143" s="10">
        <f t="shared" si="78"/>
        <v>1761554120.8415658</v>
      </c>
      <c r="AP143" s="10">
        <f t="shared" si="78"/>
        <v>1823847012.0888906</v>
      </c>
      <c r="AQ143" s="10">
        <f t="shared" si="78"/>
        <v>1886940927.4890487</v>
      </c>
      <c r="AR143" s="10">
        <f t="shared" si="78"/>
        <v>1950835867.0420411</v>
      </c>
      <c r="AS143" s="10">
        <f t="shared" si="78"/>
        <v>2015531830.7478671</v>
      </c>
      <c r="AT143" s="10">
        <f t="shared" si="78"/>
        <v>2081028818.6065273</v>
      </c>
      <c r="AU143" s="10">
        <f t="shared" si="78"/>
        <v>2156390751.5512223</v>
      </c>
      <c r="AV143" s="10">
        <f t="shared" si="78"/>
        <v>2226885557.210412</v>
      </c>
      <c r="AW143" s="10">
        <f t="shared" si="78"/>
        <v>2294964332.3828859</v>
      </c>
      <c r="AX143" s="10">
        <f t="shared" si="78"/>
        <v>2359875465.0092878</v>
      </c>
      <c r="AY143" s="10">
        <f t="shared" si="78"/>
        <v>2427682689.2560315</v>
      </c>
      <c r="AZ143" s="10">
        <f t="shared" si="78"/>
        <v>2488167234.8286343</v>
      </c>
      <c r="BA143" s="10">
        <f t="shared" si="78"/>
        <v>2561221800.2659874</v>
      </c>
      <c r="BB143" s="10">
        <f t="shared" si="78"/>
        <v>2620616035.4020672</v>
      </c>
      <c r="BC143" s="10">
        <f t="shared" si="78"/>
        <v>2679375757.8922319</v>
      </c>
      <c r="BD143" s="10">
        <f t="shared" si="78"/>
        <v>2737500967.7364783</v>
      </c>
      <c r="BE143" s="10">
        <f t="shared" si="78"/>
        <v>2791321435.9412603</v>
      </c>
      <c r="BF143" s="10">
        <f t="shared" si="78"/>
        <v>2844392959.478291</v>
      </c>
      <c r="BG143" s="10">
        <f t="shared" si="78"/>
        <v>2896715538.3475709</v>
      </c>
      <c r="BH143" s="10">
        <f t="shared" si="78"/>
        <v>2958739226.6073022</v>
      </c>
      <c r="BI143" s="10"/>
    </row>
    <row r="144" spans="1:61" hidden="1" x14ac:dyDescent="0.2">
      <c r="A144" t="s">
        <v>31</v>
      </c>
      <c r="B144" s="31"/>
      <c r="C144" s="10">
        <f>IF(C142&lt;0,SUM(C136)-C142,0)</f>
        <v>2371160</v>
      </c>
      <c r="D144" s="10">
        <f>IF(SUM($C136:D136)-D142&gt;C144,SUM($C136:D136)-D142,C144)</f>
        <v>30320525.29037049</v>
      </c>
      <c r="E144" s="10">
        <f>IF(SUM($C136:E136)-E142&gt;D144,SUM($C136:E136)-E142,D144)</f>
        <v>102789138.03956696</v>
      </c>
      <c r="F144" s="10">
        <f>IF(SUM($C136:F136)-F142&gt;E144,SUM($C136:F136)-F142,E144)</f>
        <v>211491809.5032447</v>
      </c>
      <c r="G144" s="10">
        <f>IF(SUM($C136:G136)-G142&gt;F144,SUM($C136:G136)-G142,F144)</f>
        <v>358705465.37940937</v>
      </c>
      <c r="H144" s="10">
        <f>IF(SUM($C136:H136)-H142&gt;G144,SUM($C136:H136)-H142,G144)</f>
        <v>555200493.20578098</v>
      </c>
      <c r="I144" s="10">
        <f>IF(SUM($C136:I136)-I142&gt;H144,SUM($C136:I136)-I142,H144)</f>
        <v>775204946.15101635</v>
      </c>
      <c r="J144" s="10">
        <f>IF(SUM($C136:J136)-J142&gt;I144,SUM($C136:J136)-J142,I144)</f>
        <v>1019114676.8524612</v>
      </c>
      <c r="K144" s="10">
        <f>IF(SUM($C136:K136)-K142&gt;J144,SUM($C136:K136)-K142,J144)</f>
        <v>1281884948.8506863</v>
      </c>
      <c r="L144" s="10">
        <f>IF(SUM($C136:L136)-L142&gt;K144,SUM($C136:L136)-L142,K144)</f>
        <v>1673809609.664989</v>
      </c>
      <c r="M144" s="10">
        <f>IF(SUM($C136:M136)-M142&gt;L144,SUM($C136:M136)-M142,L144)</f>
        <v>2066583555.0537021</v>
      </c>
      <c r="N144" s="10">
        <f>IF(SUM($C136:N136)-N142&gt;M144,SUM($C136:N136)-N142,M144)</f>
        <v>2481052080.0169458</v>
      </c>
      <c r="O144" s="10">
        <f>IF(SUM($C136:O136)-O142&gt;N144,SUM($C136:O136)-O142,N144)</f>
        <v>2758598041.4135022</v>
      </c>
      <c r="P144" s="10">
        <f>IF(SUM($C136:P136)-P142&gt;O144,SUM($C136:P136)-P142,O144)</f>
        <v>3042126140.7755361</v>
      </c>
      <c r="Q144" s="10">
        <f>IF(SUM($C136:Q136)-Q142&gt;P144,SUM($C136:Q136)-Q142,P144)</f>
        <v>3331511263.5324221</v>
      </c>
      <c r="R144" s="10">
        <f>IF(SUM($C136:R136)-R142&gt;Q144,SUM($C136:R136)-R142,Q144)</f>
        <v>3499020621.1096067</v>
      </c>
      <c r="S144" s="10">
        <f>IF(SUM($C136:S136)-S142&gt;R144,SUM($C136:S136)-S142,R144)</f>
        <v>3631068481.6133256</v>
      </c>
      <c r="T144" s="10">
        <f>IF(SUM($C136:T136)-T142&gt;S144,SUM($C136:T136)-T142,S144)</f>
        <v>3727158173.9678812</v>
      </c>
      <c r="U144" s="10">
        <f>IF(SUM($C136:U136)-U142&gt;T144,SUM($C136:U136)-U142,T144)</f>
        <v>3771271010.0560541</v>
      </c>
      <c r="V144" s="10">
        <f>IF(SUM($C136:V136)-V142&gt;U144,SUM($C136:V136)-V142,U144)</f>
        <v>3771271010.0560541</v>
      </c>
      <c r="W144" s="10">
        <f>IF(SUM($C136:W136)-W142&gt;V144,SUM($C136:W136)-W142,V144)</f>
        <v>3771271010.0560541</v>
      </c>
      <c r="X144" s="10">
        <f>IF(SUM($C136:X136)-X142&gt;W144,SUM($C136:X136)-X142,W144)</f>
        <v>3771271010.0560541</v>
      </c>
      <c r="Y144" s="10">
        <f>IF(SUM($C136:Y136)-Y142&gt;X144,SUM($C136:Y136)-Y142,X144)</f>
        <v>3771271010.0560541</v>
      </c>
      <c r="Z144" s="10">
        <f>IF(SUM($C136:Z136)-Z142&gt;Y144,SUM($C136:Z136)-Z142,Y144)</f>
        <v>3771271010.0560541</v>
      </c>
      <c r="AA144" s="10">
        <f>IF(SUM($C136:AA136)-AA142&gt;Z144,SUM($C136:AA136)-AA142,Z144)</f>
        <v>3771271010.0560541</v>
      </c>
      <c r="AB144" s="10">
        <f>IF(SUM($C136:AB136)-AB142&gt;AA144,SUM($C136:AB136)-AB142,AA144)</f>
        <v>3771271010.0560541</v>
      </c>
      <c r="AC144" s="10">
        <f>IF(SUM($C136:AC136)-AC142&gt;AB144,SUM($C136:AC136)-AC142,AB144)</f>
        <v>3771271010.0560541</v>
      </c>
      <c r="AD144" s="10">
        <f>IF(SUM($C136:AD136)-AD142&gt;AC144,SUM($C136:AD136)-AD142,AC144)</f>
        <v>3771271010.0560541</v>
      </c>
      <c r="AE144" s="10">
        <f>IF(SUM($C136:AE136)-AE142&gt;AD144,SUM($C136:AE136)-AE142,AD144)</f>
        <v>3771271010.0560541</v>
      </c>
      <c r="AF144" s="10">
        <f>IF(SUM($C136:AF136)-AF142&gt;AE144,SUM($C136:AF136)-AF142,AE144)</f>
        <v>3771271010.0560541</v>
      </c>
      <c r="AG144" s="10">
        <f>IF(SUM($C136:AG136)-AG142&gt;AF144,SUM($C136:AG136)-AG142,AF144)</f>
        <v>3771271010.0560541</v>
      </c>
      <c r="AH144" s="10">
        <f>IF(SUM($C136:AH136)-AH142&gt;AG144,SUM($C136:AH136)-AH142,AG144)</f>
        <v>3771271010.0560541</v>
      </c>
      <c r="AI144" s="10">
        <f>IF(SUM($C136:AI136)-AI142&gt;AH144,SUM($C136:AI136)-AI142,AH144)</f>
        <v>3771271010.0560541</v>
      </c>
      <c r="AJ144" s="10">
        <f>IF(SUM($C136:AJ136)-AJ142&gt;AI144,SUM($C136:AJ136)-AJ142,AI144)</f>
        <v>3771271010.0560541</v>
      </c>
      <c r="AK144" s="10">
        <f>IF(SUM($C136:AK136)-AK142&gt;AJ144,SUM($C136:AK136)-AK142,AJ144)</f>
        <v>3771271010.0560541</v>
      </c>
      <c r="AL144" s="10">
        <f>IF(SUM($C136:AL136)-AL142&gt;AK144,SUM($C136:AL136)-AL142,AK144)</f>
        <v>3771271010.0560541</v>
      </c>
      <c r="AM144" s="10">
        <f>IF(SUM($C136:AM136)-AM142&gt;AL144,SUM($C136:AM136)-AM142,AL144)</f>
        <v>3771271010.0560541</v>
      </c>
      <c r="AN144" s="10">
        <f>IF(SUM($C136:AN136)-AN142&gt;AM144,SUM($C136:AN136)-AN142,AM144)</f>
        <v>3771271010.0560541</v>
      </c>
      <c r="AO144" s="10">
        <f>IF(SUM($C136:AO136)-AO142&gt;AN144,SUM($C136:AO136)-AO142,AN144)</f>
        <v>3771271010.0560541</v>
      </c>
      <c r="AP144" s="10">
        <f>IF(SUM($C136:AP136)-AP142&gt;AO144,SUM($C136:AP136)-AP142,AO144)</f>
        <v>3771271010.0560541</v>
      </c>
      <c r="AQ144" s="10">
        <f>IF(SUM($C136:AQ136)-AQ142&gt;AP144,SUM($C136:AQ136)-AQ142,AP144)</f>
        <v>3771271010.0560541</v>
      </c>
      <c r="AR144" s="10">
        <f>IF(SUM($C136:AR136)-AR142&gt;AQ144,SUM($C136:AR136)-AR142,AQ144)</f>
        <v>3771271010.0560541</v>
      </c>
      <c r="AS144" s="10">
        <f>IF(SUM($C136:AS136)-AS142&gt;AR144,SUM($C136:AS136)-AS142,AR144)</f>
        <v>3771271010.0560541</v>
      </c>
      <c r="AT144" s="10">
        <f>IF(SUM($C136:AT136)-AT142&gt;AS144,SUM($C136:AT136)-AT142,AS144)</f>
        <v>3771271010.0560541</v>
      </c>
      <c r="AU144" s="10">
        <f>IF(SUM($C136:AU136)-AU142&gt;AT144,SUM($C136:AU136)-AU142,AT144)</f>
        <v>3771271010.0560541</v>
      </c>
      <c r="AV144" s="10">
        <f>IF(SUM($C136:AV136)-AV142&gt;AU144,SUM($C136:AV136)-AV142,AU144)</f>
        <v>3771271010.0560541</v>
      </c>
      <c r="AW144" s="10">
        <f>IF(SUM($C136:AW136)-AW142&gt;AV144,SUM($C136:AW136)-AW142,AV144)</f>
        <v>3771271010.0560541</v>
      </c>
      <c r="AX144" s="10">
        <f>IF(SUM($C136:AX136)-AX142&gt;AW144,SUM($C136:AX136)-AX142,AW144)</f>
        <v>3771271010.0560541</v>
      </c>
      <c r="AY144" s="10">
        <f>IF(SUM($C136:AY136)-AY142&gt;AX144,SUM($C136:AY136)-AY142,AX144)</f>
        <v>3771271010.0560541</v>
      </c>
      <c r="AZ144" s="10">
        <f>IF(SUM($C136:AZ136)-AZ142&gt;AY144,SUM($C136:AZ136)-AZ142,AY144)</f>
        <v>3771271010.0560541</v>
      </c>
      <c r="BA144" s="10">
        <f>IF(SUM($C136:BA136)-BA142&gt;AZ144,SUM($C136:BA136)-BA142,AZ144)</f>
        <v>3771271010.0560541</v>
      </c>
      <c r="BB144" s="10">
        <f>IF(SUM($C136:BB136)-BB142&gt;BA144,SUM($C136:BB136)-BB142,BA144)</f>
        <v>3771271010.0560541</v>
      </c>
      <c r="BC144" s="10">
        <f>IF(SUM($C136:BC136)-BC142&gt;BB144,SUM($C136:BC136)-BC142,BB144)</f>
        <v>3771271010.0560541</v>
      </c>
      <c r="BD144" s="10">
        <f>IF(SUM($C136:BD136)-BD142&gt;BC144,SUM($C136:BD136)-BD142,BC144)</f>
        <v>3771271010.0560541</v>
      </c>
      <c r="BE144" s="10">
        <f>IF(SUM($C136:BE136)-BE142&gt;BD144,SUM($C136:BE136)-BE142,BD144)</f>
        <v>3771271010.0560541</v>
      </c>
      <c r="BF144" s="10">
        <f>IF(SUM($C136:BF136)-BF142&gt;BE144,SUM($C136:BF136)-BF142,BE144)</f>
        <v>3771271010.0560541</v>
      </c>
      <c r="BG144" s="10">
        <f>IF(SUM($C136:BG136)-BG142&gt;BF144,SUM($C136:BG136)-BG142,BF144)</f>
        <v>3771271010.0560541</v>
      </c>
      <c r="BH144" s="10">
        <f>IF(SUM($C136:BH136)-BH142&gt;BG144,SUM($C136:BH136)-BH142,BG144)</f>
        <v>3771271010.0560541</v>
      </c>
      <c r="BI144" s="10"/>
    </row>
    <row r="145" spans="1:61" s="82" customFormat="1" hidden="1" x14ac:dyDescent="0.2">
      <c r="A145" s="82" t="s">
        <v>792</v>
      </c>
      <c r="B145" s="156">
        <v>1.4999999999999999E-2</v>
      </c>
      <c r="C145" s="156">
        <f xml:space="preserve"> 1 + B145</f>
        <v>1.0149999999999999</v>
      </c>
      <c r="D145" s="156">
        <f xml:space="preserve"> (1 + $B145) * C145</f>
        <v>1.0302249999999997</v>
      </c>
      <c r="E145" s="156">
        <f xml:space="preserve"> (1 + $B145) * D145</f>
        <v>1.0456783749999996</v>
      </c>
      <c r="F145" s="156">
        <f xml:space="preserve"> (1 + $B145) * E145</f>
        <v>1.0613635506249994</v>
      </c>
      <c r="G145" s="156">
        <f t="shared" ref="G145:BH145" si="79" xml:space="preserve"> (1 + $B145) * F145</f>
        <v>1.0772840038843743</v>
      </c>
      <c r="H145" s="156">
        <f t="shared" si="79"/>
        <v>1.0934432639426397</v>
      </c>
      <c r="I145" s="156">
        <f t="shared" si="79"/>
        <v>1.1098449129017791</v>
      </c>
      <c r="J145" s="156">
        <f t="shared" si="79"/>
        <v>1.1264925865953057</v>
      </c>
      <c r="K145" s="156">
        <f t="shared" si="79"/>
        <v>1.1433899753942351</v>
      </c>
      <c r="L145" s="156">
        <f t="shared" si="79"/>
        <v>1.1605408250251485</v>
      </c>
      <c r="M145" s="156">
        <f t="shared" si="79"/>
        <v>1.1779489374005256</v>
      </c>
      <c r="N145" s="156">
        <f t="shared" si="79"/>
        <v>1.1956181714615335</v>
      </c>
      <c r="O145" s="156">
        <f t="shared" si="79"/>
        <v>1.2135524440334564</v>
      </c>
      <c r="P145" s="156">
        <f t="shared" si="79"/>
        <v>1.2317557306939582</v>
      </c>
      <c r="Q145" s="156">
        <f t="shared" si="79"/>
        <v>1.2502320666543674</v>
      </c>
      <c r="R145" s="156">
        <f t="shared" si="79"/>
        <v>1.2689855476541827</v>
      </c>
      <c r="S145" s="156">
        <f t="shared" si="79"/>
        <v>1.2880203308689953</v>
      </c>
      <c r="T145" s="156">
        <f t="shared" si="79"/>
        <v>1.3073406358320301</v>
      </c>
      <c r="U145" s="156">
        <f t="shared" si="79"/>
        <v>1.3269507453695104</v>
      </c>
      <c r="V145" s="156">
        <f t="shared" si="79"/>
        <v>1.3468550065500529</v>
      </c>
      <c r="W145" s="156">
        <f t="shared" si="79"/>
        <v>1.3670578316483035</v>
      </c>
      <c r="X145" s="156">
        <f t="shared" si="79"/>
        <v>1.387563699123028</v>
      </c>
      <c r="Y145" s="156">
        <f t="shared" si="79"/>
        <v>1.4083771546098733</v>
      </c>
      <c r="Z145" s="156">
        <f t="shared" si="79"/>
        <v>1.4295028119290214</v>
      </c>
      <c r="AA145" s="156">
        <f t="shared" si="79"/>
        <v>1.4509453541079567</v>
      </c>
      <c r="AB145" s="156">
        <f t="shared" si="79"/>
        <v>1.472709534419576</v>
      </c>
      <c r="AC145" s="156">
        <f t="shared" si="79"/>
        <v>1.4948001774358695</v>
      </c>
      <c r="AD145" s="156">
        <f t="shared" si="79"/>
        <v>1.5172221800974073</v>
      </c>
      <c r="AE145" s="156">
        <f t="shared" si="79"/>
        <v>1.5399805127988682</v>
      </c>
      <c r="AF145" s="156">
        <f t="shared" si="79"/>
        <v>1.5630802204908509</v>
      </c>
      <c r="AG145" s="156">
        <f t="shared" si="79"/>
        <v>1.5865264237982135</v>
      </c>
      <c r="AH145" s="156">
        <f t="shared" si="79"/>
        <v>1.6103243201551867</v>
      </c>
      <c r="AI145" s="156">
        <f t="shared" si="79"/>
        <v>1.6344791849575142</v>
      </c>
      <c r="AJ145" s="156">
        <f t="shared" si="79"/>
        <v>1.6589963727318768</v>
      </c>
      <c r="AK145" s="156">
        <f t="shared" si="79"/>
        <v>1.6838813183228549</v>
      </c>
      <c r="AL145" s="156">
        <f t="shared" si="79"/>
        <v>1.7091395380976975</v>
      </c>
      <c r="AM145" s="156">
        <f t="shared" si="79"/>
        <v>1.7347766311691628</v>
      </c>
      <c r="AN145" s="156">
        <f t="shared" si="79"/>
        <v>1.7607982806367002</v>
      </c>
      <c r="AO145" s="156">
        <f t="shared" si="79"/>
        <v>1.7872102548462505</v>
      </c>
      <c r="AP145" s="156">
        <f t="shared" si="79"/>
        <v>1.8140184086689441</v>
      </c>
      <c r="AQ145" s="156">
        <f t="shared" si="79"/>
        <v>1.8412286847989781</v>
      </c>
      <c r="AR145" s="156">
        <f t="shared" si="79"/>
        <v>1.8688471150709625</v>
      </c>
      <c r="AS145" s="156">
        <f t="shared" si="79"/>
        <v>1.8968798217970266</v>
      </c>
      <c r="AT145" s="156">
        <f t="shared" si="79"/>
        <v>1.9253330191239819</v>
      </c>
      <c r="AU145" s="156">
        <f t="shared" si="79"/>
        <v>1.9542130144108414</v>
      </c>
      <c r="AV145" s="156">
        <f t="shared" si="79"/>
        <v>1.9835262096270039</v>
      </c>
      <c r="AW145" s="156">
        <f t="shared" si="79"/>
        <v>2.0132791027714085</v>
      </c>
      <c r="AX145" s="156">
        <f t="shared" si="79"/>
        <v>2.0434782893129793</v>
      </c>
      <c r="AY145" s="156">
        <f t="shared" si="79"/>
        <v>2.0741304636526738</v>
      </c>
      <c r="AZ145" s="156">
        <f t="shared" si="79"/>
        <v>2.1052424206074636</v>
      </c>
      <c r="BA145" s="156">
        <f t="shared" si="79"/>
        <v>2.1368210569165753</v>
      </c>
      <c r="BB145" s="156">
        <f t="shared" si="79"/>
        <v>2.1688733727703235</v>
      </c>
      <c r="BC145" s="156">
        <f t="shared" si="79"/>
        <v>2.2014064733618781</v>
      </c>
      <c r="BD145" s="156">
        <f t="shared" si="79"/>
        <v>2.234427570462306</v>
      </c>
      <c r="BE145" s="156">
        <f t="shared" si="79"/>
        <v>2.2679439840192406</v>
      </c>
      <c r="BF145" s="156">
        <f t="shared" si="79"/>
        <v>2.3019631437795289</v>
      </c>
      <c r="BG145" s="156">
        <f t="shared" si="79"/>
        <v>2.3364925909362215</v>
      </c>
      <c r="BH145" s="156">
        <f t="shared" si="79"/>
        <v>2.3715399798002648</v>
      </c>
      <c r="BI145" s="83"/>
    </row>
    <row r="146" spans="1:61" s="82" customFormat="1" hidden="1" x14ac:dyDescent="0.2">
      <c r="A146" s="82" t="s">
        <v>741</v>
      </c>
      <c r="B146" s="156"/>
      <c r="C146" s="83">
        <f xml:space="preserve"> C140 * C145</f>
        <v>2406727.4</v>
      </c>
      <c r="D146" s="83">
        <f t="shared" ref="D146:BH146" si="80" xml:space="preserve"> D140 * D145</f>
        <v>2442828.3109999993</v>
      </c>
      <c r="E146" s="83">
        <f t="shared" si="80"/>
        <v>2479470.7356649991</v>
      </c>
      <c r="F146" s="83">
        <f t="shared" si="80"/>
        <v>19306708.219130412</v>
      </c>
      <c r="G146" s="83">
        <f t="shared" si="80"/>
        <v>37685473.688371822</v>
      </c>
      <c r="H146" s="83">
        <f t="shared" si="80"/>
        <v>62871568.130658753</v>
      </c>
      <c r="I146" s="83">
        <f t="shared" si="80"/>
        <v>89609885.782177672</v>
      </c>
      <c r="J146" s="83">
        <f t="shared" si="80"/>
        <v>120020070.36792536</v>
      </c>
      <c r="K146" s="83">
        <f t="shared" si="80"/>
        <v>153203475.35516822</v>
      </c>
      <c r="L146" s="83">
        <f t="shared" si="80"/>
        <v>188792528.84365928</v>
      </c>
      <c r="M146" s="83">
        <f t="shared" si="80"/>
        <v>342172605.26656187</v>
      </c>
      <c r="N146" s="83">
        <f t="shared" si="80"/>
        <v>381192795.38492757</v>
      </c>
      <c r="O146" s="83">
        <f t="shared" si="80"/>
        <v>423183246.24451077</v>
      </c>
      <c r="P146" s="83">
        <f t="shared" si="80"/>
        <v>463791765.78383869</v>
      </c>
      <c r="Q146" s="83">
        <f t="shared" si="80"/>
        <v>507003932.10897762</v>
      </c>
      <c r="R146" s="83">
        <f t="shared" si="80"/>
        <v>553447882.45599294</v>
      </c>
      <c r="S146" s="83">
        <f t="shared" si="80"/>
        <v>598548392.01008272</v>
      </c>
      <c r="T146" s="83">
        <f t="shared" si="80"/>
        <v>646144559.13585234</v>
      </c>
      <c r="U146" s="83">
        <f t="shared" si="80"/>
        <v>685210621.56052315</v>
      </c>
      <c r="V146" s="83">
        <f t="shared" si="80"/>
        <v>719670466.45026457</v>
      </c>
      <c r="W146" s="83">
        <f t="shared" si="80"/>
        <v>755165993.05395055</v>
      </c>
      <c r="X146" s="83">
        <f t="shared" si="80"/>
        <v>791722859.23925602</v>
      </c>
      <c r="Y146" s="83">
        <f t="shared" si="80"/>
        <v>829367294.69472039</v>
      </c>
      <c r="Z146" s="83">
        <f t="shared" si="80"/>
        <v>868126112.83805251</v>
      </c>
      <c r="AA146" s="83">
        <f t="shared" si="80"/>
        <v>914885819.56293356</v>
      </c>
      <c r="AB146" s="83">
        <f t="shared" si="80"/>
        <v>956083142.75192535</v>
      </c>
      <c r="AC146" s="83">
        <f t="shared" si="80"/>
        <v>998481177.72391903</v>
      </c>
      <c r="AD146" s="83">
        <f t="shared" si="80"/>
        <v>1042109236.0556384</v>
      </c>
      <c r="AE146" s="83">
        <f t="shared" si="80"/>
        <v>1087660966.639956</v>
      </c>
      <c r="AF146" s="83">
        <f t="shared" si="80"/>
        <v>1133875056.3612087</v>
      </c>
      <c r="AG146" s="83">
        <f t="shared" si="80"/>
        <v>1182095707.3722413</v>
      </c>
      <c r="AH146" s="83">
        <f t="shared" si="80"/>
        <v>1233749492.9634078</v>
      </c>
      <c r="AI146" s="83">
        <f t="shared" si="80"/>
        <v>1280528962.7468591</v>
      </c>
      <c r="AJ146" s="83">
        <f t="shared" si="80"/>
        <v>1328623608.4739928</v>
      </c>
      <c r="AK146" s="83">
        <f t="shared" si="80"/>
        <v>1377339493.754972</v>
      </c>
      <c r="AL146" s="83">
        <f t="shared" si="80"/>
        <v>1428121744.8117545</v>
      </c>
      <c r="AM146" s="83">
        <f t="shared" si="80"/>
        <v>1480315598.3214953</v>
      </c>
      <c r="AN146" s="83">
        <f t="shared" si="80"/>
        <v>1541519964.1517262</v>
      </c>
      <c r="AO146" s="83">
        <f t="shared" si="80"/>
        <v>1596752919.3873217</v>
      </c>
      <c r="AP146" s="83">
        <f t="shared" si="80"/>
        <v>1653503103.5721116</v>
      </c>
      <c r="AQ146" s="83">
        <f t="shared" si="80"/>
        <v>1711806712.393903</v>
      </c>
      <c r="AR146" s="83">
        <f t="shared" si="80"/>
        <v>1771700732.6281404</v>
      </c>
      <c r="AS146" s="83">
        <f t="shared" si="80"/>
        <v>1833222958.4254034</v>
      </c>
      <c r="AT146" s="83">
        <f t="shared" si="80"/>
        <v>1896412007.9200244</v>
      </c>
      <c r="AU146" s="83">
        <f t="shared" si="80"/>
        <v>1969703336.0833311</v>
      </c>
      <c r="AV146" s="83">
        <f t="shared" si="80"/>
        <v>2037326054.1338563</v>
      </c>
      <c r="AW146" s="83">
        <f t="shared" si="80"/>
        <v>2105929263.8807023</v>
      </c>
      <c r="AX146" s="83">
        <f t="shared" si="80"/>
        <v>2158381041.0087337</v>
      </c>
      <c r="AY146" s="83">
        <f t="shared" si="80"/>
        <v>2211560959.2401466</v>
      </c>
      <c r="AZ146" s="83">
        <f t="shared" si="80"/>
        <v>2262785913.2296562</v>
      </c>
      <c r="BA146" s="83">
        <f t="shared" si="80"/>
        <v>2323812903.2485371</v>
      </c>
      <c r="BB146" s="83">
        <f t="shared" si="80"/>
        <v>2374585320.6486235</v>
      </c>
      <c r="BC146" s="83">
        <f t="shared" si="80"/>
        <v>2424979026.1017022</v>
      </c>
      <c r="BD146" s="83">
        <f t="shared" si="80"/>
        <v>2474950549.0569611</v>
      </c>
      <c r="BE146" s="83">
        <f t="shared" si="80"/>
        <v>2523477467.5761094</v>
      </c>
      <c r="BF146" s="83">
        <f t="shared" si="80"/>
        <v>2571423770.8866725</v>
      </c>
      <c r="BG146" s="83">
        <f t="shared" si="80"/>
        <v>2618738928.5923672</v>
      </c>
      <c r="BH146" s="83">
        <f t="shared" si="80"/>
        <v>2675559673.4883337</v>
      </c>
      <c r="BI146" s="83"/>
    </row>
    <row r="147" spans="1:61" hidden="1" x14ac:dyDescent="0.2">
      <c r="B147" s="31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</row>
    <row r="148" spans="1:61" hidden="1" x14ac:dyDescent="0.2">
      <c r="A148" t="s">
        <v>746</v>
      </c>
      <c r="B148" s="31"/>
      <c r="C148" s="10">
        <f ca="1">IF(C146&gt;C135,C138+C146,C138-IF(COLUMN()&lt;C152-1,0,OFFSET(C148,-2,-C152)))</f>
        <v>2406727.4</v>
      </c>
      <c r="D148" s="10">
        <f ca="1">IF(D146&gt;D135,C148+D138+D146,C148+D138)</f>
        <v>31200862.256271932</v>
      </c>
      <c r="E148" s="10">
        <f ca="1">IF(E146&gt;E135,D148+E138+E146,D148+E138)</f>
        <v>106979723.47435594</v>
      </c>
      <c r="F148" s="10">
        <f ca="1">IF(F146&gt;F135,E148+F138+F146,E148+F138)</f>
        <v>225602989.75770003</v>
      </c>
      <c r="G148" s="10">
        <f t="shared" ref="G148:BH148" ca="1" si="81">IF(G146&gt;G135,F148+G138+G146,F148+G138)</f>
        <v>396062455.24622333</v>
      </c>
      <c r="H148" s="10">
        <f t="shared" ca="1" si="81"/>
        <v>648810849.9350177</v>
      </c>
      <c r="I148" s="10">
        <f t="shared" ca="1" si="81"/>
        <v>963482650.29842806</v>
      </c>
      <c r="J148" s="10">
        <f t="shared" ca="1" si="81"/>
        <v>1344821494.2660661</v>
      </c>
      <c r="K148" s="10">
        <f t="shared" ca="1" si="81"/>
        <v>1792568867.5397868</v>
      </c>
      <c r="L148" s="10">
        <f t="shared" ca="1" si="81"/>
        <v>2440791410.3918476</v>
      </c>
      <c r="M148" s="10">
        <f t="shared" ca="1" si="81"/>
        <v>3161956468.2706833</v>
      </c>
      <c r="N148" s="10">
        <f t="shared" ca="1" si="81"/>
        <v>3973186493.8372984</v>
      </c>
      <c r="O148" s="10">
        <f t="shared" ca="1" si="81"/>
        <v>4688654636.1534643</v>
      </c>
      <c r="P148" s="10">
        <f t="shared" ca="1" si="81"/>
        <v>5477378344.2743864</v>
      </c>
      <c r="Q148" s="10">
        <f t="shared" ca="1" si="81"/>
        <v>6344660361.0557079</v>
      </c>
      <c r="R148" s="10">
        <f t="shared" ca="1" si="81"/>
        <v>7133525770.2609501</v>
      </c>
      <c r="S148" s="10">
        <f t="shared" ca="1" si="81"/>
        <v>7954710507.1634827</v>
      </c>
      <c r="T148" s="10">
        <f t="shared" ca="1" si="81"/>
        <v>8812538966.7520065</v>
      </c>
      <c r="U148" s="10">
        <f t="shared" ca="1" si="81"/>
        <v>9687548644.1203156</v>
      </c>
      <c r="V148" s="10">
        <f t="shared" ca="1" si="81"/>
        <v>10582273563.603216</v>
      </c>
      <c r="W148" s="10">
        <f t="shared" ca="1" si="81"/>
        <v>11497108305.286737</v>
      </c>
      <c r="X148" s="10">
        <f t="shared" ca="1" si="81"/>
        <v>12432454850.730015</v>
      </c>
      <c r="Y148" s="10">
        <f t="shared" ca="1" si="81"/>
        <v>13388722716.228962</v>
      </c>
      <c r="Z148" s="10">
        <f t="shared" ca="1" si="81"/>
        <v>14372591608.365778</v>
      </c>
      <c r="AA148" s="10">
        <f t="shared" ca="1" si="81"/>
        <v>15372975683.026564</v>
      </c>
      <c r="AB148" s="10">
        <f t="shared" ca="1" si="81"/>
        <v>16395571415.930414</v>
      </c>
      <c r="AC148" s="10">
        <f t="shared" ca="1" si="81"/>
        <v>17440820070.407822</v>
      </c>
      <c r="AD148" s="10">
        <f t="shared" ca="1" si="81"/>
        <v>18513326610.370789</v>
      </c>
      <c r="AE148" s="10">
        <f t="shared" ca="1" si="81"/>
        <v>19606314442.845825</v>
      </c>
      <c r="AF148" s="10">
        <f t="shared" ca="1" si="81"/>
        <v>20727626228.456463</v>
      </c>
      <c r="AG148" s="10">
        <f t="shared" ca="1" si="81"/>
        <v>21720788523.029633</v>
      </c>
      <c r="AH148" s="10">
        <f t="shared" ca="1" si="81"/>
        <v>22737368111.930439</v>
      </c>
      <c r="AI148" s="10">
        <f t="shared" ca="1" si="81"/>
        <v>23777193822.929783</v>
      </c>
      <c r="AJ148" s="10">
        <f t="shared" ca="1" si="81"/>
        <v>24836190549.204365</v>
      </c>
      <c r="AK148" s="10">
        <f t="shared" ca="1" si="81"/>
        <v>25922746271.882431</v>
      </c>
      <c r="AL148" s="10">
        <f t="shared" ca="1" si="81"/>
        <v>27033963068.193016</v>
      </c>
      <c r="AM148" s="10">
        <f t="shared" ca="1" si="81"/>
        <v>28137077113.718712</v>
      </c>
      <c r="AN148" s="10">
        <f t="shared" ca="1" si="81"/>
        <v>29265353371.469418</v>
      </c>
      <c r="AO148" s="10">
        <f t="shared" ca="1" si="81"/>
        <v>30419298507.151638</v>
      </c>
      <c r="AP148" s="10">
        <f t="shared" ca="1" si="81"/>
        <v>31599428724.945328</v>
      </c>
      <c r="AQ148" s="10">
        <f t="shared" ca="1" si="81"/>
        <v>32806269939.658298</v>
      </c>
      <c r="AR148" s="10">
        <f t="shared" ca="1" si="81"/>
        <v>34040357951.899128</v>
      </c>
      <c r="AS148" s="10">
        <f t="shared" ca="1" si="81"/>
        <v>35302238626.320343</v>
      </c>
      <c r="AT148" s="10">
        <f t="shared" ca="1" si="81"/>
        <v>36592468072.984596</v>
      </c>
      <c r="AU148" s="10">
        <f t="shared" ca="1" si="81"/>
        <v>37911612831.90744</v>
      </c>
      <c r="AV148" s="10">
        <f t="shared" ca="1" si="81"/>
        <v>39261636532.062126</v>
      </c>
      <c r="AW148" s="10">
        <f t="shared" ca="1" si="81"/>
        <v>40641761465.815392</v>
      </c>
      <c r="AX148" s="10">
        <f t="shared" ca="1" si="81"/>
        <v>41989149536.032555</v>
      </c>
      <c r="AY148" s="10">
        <f t="shared" ca="1" si="81"/>
        <v>43303957911.681259</v>
      </c>
      <c r="AZ148" s="10">
        <f t="shared" ca="1" si="81"/>
        <v>44581962939.551498</v>
      </c>
      <c r="BA148" s="10">
        <f t="shared" ca="1" si="81"/>
        <v>45823258310.604401</v>
      </c>
      <c r="BB148" s="10">
        <f t="shared" ca="1" si="81"/>
        <v>47024939156.375992</v>
      </c>
      <c r="BC148" s="10">
        <f t="shared" ca="1" si="81"/>
        <v>48185537749.649345</v>
      </c>
      <c r="BD148" s="10">
        <f t="shared" ca="1" si="81"/>
        <v>49303551244.659218</v>
      </c>
      <c r="BE148" s="10">
        <f t="shared" ca="1" si="81"/>
        <v>50375855676.467514</v>
      </c>
      <c r="BF148" s="10">
        <f t="shared" ca="1" si="81"/>
        <v>51400828220.141815</v>
      </c>
      <c r="BG148" s="10">
        <f t="shared" ca="1" si="81"/>
        <v>52376807650.540939</v>
      </c>
      <c r="BH148" s="10">
        <f t="shared" ca="1" si="81"/>
        <v>53302093555.444305</v>
      </c>
      <c r="BI148" s="10"/>
    </row>
    <row r="149" spans="1:61" hidden="1" x14ac:dyDescent="0.2">
      <c r="A149" t="s">
        <v>743</v>
      </c>
      <c r="B149" s="31">
        <v>0.1</v>
      </c>
      <c r="C149" s="10">
        <f xml:space="preserve"> IF(C135&lt;(C138+C146), (1+$B149)*(C138+C146-C135), 0)</f>
        <v>2647400.14</v>
      </c>
      <c r="D149" s="10">
        <f xml:space="preserve"> IF(D135&lt;(D138+D146), (1+$B149)*(D138+D146-D135), 0)</f>
        <v>31673548.34189913</v>
      </c>
      <c r="E149" s="10">
        <f xml:space="preserve"> IF(E135&lt;(E138+E146), (1+$B149)*(E138+E146-E135), 0)</f>
        <v>83356747.339892417</v>
      </c>
      <c r="F149" s="10">
        <f t="shared" ref="F149:BH149" si="82" xml:space="preserve"> IF(F135&lt;(F138+F146), (1+$B149)*(F138+F146-F135), 0)</f>
        <v>128344919.01667784</v>
      </c>
      <c r="G149" s="10">
        <f t="shared" si="82"/>
        <v>178360496.6892958</v>
      </c>
      <c r="H149" s="10">
        <f t="shared" si="82"/>
        <v>245813939.6311641</v>
      </c>
      <c r="I149" s="10">
        <f t="shared" si="82"/>
        <v>286019259.7913844</v>
      </c>
      <c r="J149" s="10">
        <f t="shared" si="82"/>
        <v>330227435.74099654</v>
      </c>
      <c r="K149" s="10">
        <f t="shared" si="82"/>
        <v>371947588.84346181</v>
      </c>
      <c r="L149" s="10">
        <f t="shared" si="82"/>
        <v>558482400.04944861</v>
      </c>
      <c r="M149" s="10">
        <f t="shared" si="82"/>
        <v>608749820.96656168</v>
      </c>
      <c r="N149" s="10">
        <f t="shared" si="82"/>
        <v>670520286.57887864</v>
      </c>
      <c r="O149" s="10">
        <f t="shared" si="82"/>
        <v>525709627.56629127</v>
      </c>
      <c r="P149" s="10">
        <f t="shared" si="82"/>
        <v>571108769.81439841</v>
      </c>
      <c r="Q149" s="10">
        <f t="shared" si="82"/>
        <v>620891025.97595692</v>
      </c>
      <c r="R149" s="10">
        <f t="shared" si="82"/>
        <v>497241922.00930578</v>
      </c>
      <c r="S149" s="10">
        <f t="shared" si="82"/>
        <v>494473225.84814805</v>
      </c>
      <c r="T149" s="10">
        <f t="shared" si="82"/>
        <v>494621955.41103506</v>
      </c>
      <c r="U149" s="10">
        <f t="shared" si="82"/>
        <v>471393401.47030073</v>
      </c>
      <c r="V149" s="10">
        <f t="shared" si="82"/>
        <v>456408260.30199558</v>
      </c>
      <c r="W149" s="10">
        <f t="shared" si="82"/>
        <v>441989708.21872818</v>
      </c>
      <c r="X149" s="10">
        <f t="shared" si="82"/>
        <v>428174110.49535632</v>
      </c>
      <c r="Y149" s="10">
        <f t="shared" si="82"/>
        <v>414998607.99973011</v>
      </c>
      <c r="Z149" s="10">
        <f t="shared" si="82"/>
        <v>409389904.80624449</v>
      </c>
      <c r="AA149" s="10">
        <f t="shared" si="82"/>
        <v>383916500.26441443</v>
      </c>
      <c r="AB149" s="10">
        <f t="shared" si="82"/>
        <v>372833924.35232472</v>
      </c>
      <c r="AC149" s="10">
        <f t="shared" si="82"/>
        <v>362550822.17014527</v>
      </c>
      <c r="AD149" s="10">
        <f t="shared" si="82"/>
        <v>357679507.09193105</v>
      </c>
      <c r="AE149" s="10">
        <f t="shared" si="82"/>
        <v>343162962.17528617</v>
      </c>
      <c r="AF149" s="10">
        <f t="shared" si="82"/>
        <v>340198321.1935609</v>
      </c>
      <c r="AG149" s="10">
        <f t="shared" si="82"/>
        <v>162919937.85342655</v>
      </c>
      <c r="AH149" s="10">
        <f t="shared" si="82"/>
        <v>155449257.63909921</v>
      </c>
      <c r="AI149" s="10">
        <f t="shared" si="82"/>
        <v>151133300.00898337</v>
      </c>
      <c r="AJ149" s="10">
        <f t="shared" si="82"/>
        <v>142774719.51635349</v>
      </c>
      <c r="AK149" s="10">
        <f t="shared" si="82"/>
        <v>146899363.45364034</v>
      </c>
      <c r="AL149" s="10">
        <f t="shared" si="82"/>
        <v>145620052.28394365</v>
      </c>
      <c r="AM149" s="10">
        <f t="shared" si="82"/>
        <v>108846598.05841567</v>
      </c>
      <c r="AN149" s="10">
        <f t="shared" si="82"/>
        <v>103694179.86388017</v>
      </c>
      <c r="AO149" s="10">
        <f t="shared" si="82"/>
        <v>105281843.14746919</v>
      </c>
      <c r="AP149" s="10">
        <f t="shared" si="82"/>
        <v>108099583.97818457</v>
      </c>
      <c r="AQ149" s="10">
        <f t="shared" si="82"/>
        <v>112197899.30326487</v>
      </c>
      <c r="AR149" s="10">
        <f t="shared" si="82"/>
        <v>117628348.95653273</v>
      </c>
      <c r="AS149" s="10">
        <f t="shared" si="82"/>
        <v>124443576.95197274</v>
      </c>
      <c r="AT149" s="10">
        <f t="shared" si="82"/>
        <v>132697333.18849489</v>
      </c>
      <c r="AU149" s="10">
        <f t="shared" si="82"/>
        <v>136983785.83273813</v>
      </c>
      <c r="AV149" s="10">
        <f t="shared" si="82"/>
        <v>146674949.03912485</v>
      </c>
      <c r="AW149" s="10">
        <f t="shared" si="82"/>
        <v>159577367.11470786</v>
      </c>
      <c r="AX149" s="10">
        <f t="shared" si="82"/>
        <v>98631104.935309365</v>
      </c>
      <c r="AY149" s="10">
        <f t="shared" si="82"/>
        <v>35670046.807221845</v>
      </c>
      <c r="AZ149" s="10">
        <f t="shared" si="82"/>
        <v>0</v>
      </c>
      <c r="BA149" s="10">
        <f t="shared" si="82"/>
        <v>0</v>
      </c>
      <c r="BB149" s="10">
        <f t="shared" si="82"/>
        <v>0</v>
      </c>
      <c r="BC149" s="10">
        <f t="shared" si="82"/>
        <v>0</v>
      </c>
      <c r="BD149" s="10">
        <f t="shared" si="82"/>
        <v>0</v>
      </c>
      <c r="BE149" s="10">
        <f t="shared" si="82"/>
        <v>0</v>
      </c>
      <c r="BF149" s="10">
        <f t="shared" si="82"/>
        <v>0</v>
      </c>
      <c r="BG149" s="10">
        <f t="shared" si="82"/>
        <v>0</v>
      </c>
      <c r="BH149" s="10">
        <f t="shared" si="82"/>
        <v>0</v>
      </c>
      <c r="BI149" s="10"/>
    </row>
    <row r="150" spans="1:61" hidden="1" x14ac:dyDescent="0.2">
      <c r="A150" t="s">
        <v>744</v>
      </c>
      <c r="B150" s="31"/>
      <c r="C150" s="10">
        <f xml:space="preserve"> C149</f>
        <v>2647400.14</v>
      </c>
      <c r="D150" s="10">
        <f xml:space="preserve"> C150 + D149 -C153</f>
        <v>34087840.269625291</v>
      </c>
      <c r="E150" s="10">
        <f t="shared" ref="E150:BH150" si="83" xml:space="preserve"> D150 + E149 -D153</f>
        <v>114443093.65872853</v>
      </c>
      <c r="F150" s="10">
        <f t="shared" si="83"/>
        <v>232711098.13317421</v>
      </c>
      <c r="G150" s="10">
        <f t="shared" si="83"/>
        <v>390580975.65142715</v>
      </c>
      <c r="H150" s="10">
        <f t="shared" si="83"/>
        <v>602003577.30287993</v>
      </c>
      <c r="I150" s="10">
        <f t="shared" si="83"/>
        <v>835015369.28944325</v>
      </c>
      <c r="J150" s="10">
        <f t="shared" si="83"/>
        <v>1091718241.434912</v>
      </c>
      <c r="K150" s="10">
        <f t="shared" si="83"/>
        <v>1367538129.851634</v>
      </c>
      <c r="L150" s="10">
        <f t="shared" si="83"/>
        <v>1805606405.9273562</v>
      </c>
      <c r="M150" s="10">
        <f t="shared" si="83"/>
        <v>2255369425.0892186</v>
      </c>
      <c r="N150" s="10">
        <f t="shared" si="83"/>
        <v>2727300489.4511576</v>
      </c>
      <c r="O150" s="10">
        <f t="shared" si="83"/>
        <v>3012866539.2394714</v>
      </c>
      <c r="P150" s="10">
        <f t="shared" si="83"/>
        <v>3318687141.1754112</v>
      </c>
      <c r="Q150" s="10">
        <f t="shared" si="83"/>
        <v>3647361960.4333425</v>
      </c>
      <c r="R150" s="10">
        <f t="shared" si="83"/>
        <v>3823447283.0809016</v>
      </c>
      <c r="S150" s="10">
        <f t="shared" si="83"/>
        <v>3981259288.9586349</v>
      </c>
      <c r="T150" s="10">
        <f t="shared" si="83"/>
        <v>4125324401.2897444</v>
      </c>
      <c r="U150" s="10">
        <f t="shared" si="83"/>
        <v>4233475774.5888567</v>
      </c>
      <c r="V150" s="10">
        <f t="shared" si="83"/>
        <v>4317119089.1584682</v>
      </c>
      <c r="W150" s="10">
        <f t="shared" si="83"/>
        <v>4378978911.5160494</v>
      </c>
      <c r="X150" s="10">
        <f t="shared" si="83"/>
        <v>4421576270.6071634</v>
      </c>
      <c r="Y150" s="10">
        <f t="shared" si="83"/>
        <v>4447247355.2376251</v>
      </c>
      <c r="Z150" s="10">
        <f t="shared" si="83"/>
        <v>4465049352.7776146</v>
      </c>
      <c r="AA150" s="10">
        <f t="shared" si="83"/>
        <v>4455810448.759079</v>
      </c>
      <c r="AB150" s="10">
        <f t="shared" si="83"/>
        <v>4436302470.4848852</v>
      </c>
      <c r="AC150" s="10">
        <f t="shared" si="83"/>
        <v>4408229101.6323853</v>
      </c>
      <c r="AD150" s="10">
        <f t="shared" si="83"/>
        <v>4377756326.9256811</v>
      </c>
      <c r="AE150" s="10">
        <f t="shared" si="83"/>
        <v>4335450188.4080429</v>
      </c>
      <c r="AF150" s="10">
        <f t="shared" si="83"/>
        <v>4293904538.3929043</v>
      </c>
      <c r="AG150" s="10">
        <f t="shared" si="83"/>
        <v>4078738672.1792197</v>
      </c>
      <c r="AH150" s="10">
        <f t="shared" si="83"/>
        <v>3875047856.5674882</v>
      </c>
      <c r="AI150" s="10">
        <f t="shared" si="83"/>
        <v>3684976415.8680987</v>
      </c>
      <c r="AJ150" s="10">
        <f t="shared" si="83"/>
        <v>3503282517.4390507</v>
      </c>
      <c r="AK150" s="10">
        <f t="shared" si="83"/>
        <v>3341711728.4621625</v>
      </c>
      <c r="AL150" s="10">
        <f t="shared" si="83"/>
        <v>3193088218.8505754</v>
      </c>
      <c r="AM150" s="10">
        <f t="shared" si="83"/>
        <v>3020777814.957293</v>
      </c>
      <c r="AN150" s="10">
        <f t="shared" si="83"/>
        <v>2858487225.2800035</v>
      </c>
      <c r="AO150" s="10">
        <f t="shared" si="83"/>
        <v>2712074269.1318054</v>
      </c>
      <c r="AP150" s="10">
        <f t="shared" si="83"/>
        <v>2581370970.6597433</v>
      </c>
      <c r="AQ150" s="10">
        <f t="shared" si="83"/>
        <v>2466274641.5257192</v>
      </c>
      <c r="AR150" s="10">
        <f t="shared" si="83"/>
        <v>2366743195.1132159</v>
      </c>
      <c r="AS150" s="10">
        <f t="shared" si="83"/>
        <v>2282790894.6198893</v>
      </c>
      <c r="AT150" s="10">
        <f t="shared" si="83"/>
        <v>2214484497.2428055</v>
      </c>
      <c r="AU150" s="10">
        <f t="shared" si="83"/>
        <v>2156479050.2577209</v>
      </c>
      <c r="AV150" s="10">
        <f t="shared" si="83"/>
        <v>2113272247.5297866</v>
      </c>
      <c r="AW150" s="10">
        <f t="shared" si="83"/>
        <v>2086772297.4205174</v>
      </c>
      <c r="AX150" s="10">
        <f t="shared" si="83"/>
        <v>2001659452.0838201</v>
      </c>
      <c r="AY150" s="10">
        <f t="shared" si="83"/>
        <v>1861079883.5018525</v>
      </c>
      <c r="AZ150" s="10">
        <f t="shared" si="83"/>
        <v>1697208544.9810662</v>
      </c>
      <c r="BA150" s="10">
        <f t="shared" si="83"/>
        <v>1547766364.4059699</v>
      </c>
      <c r="BB150" s="10">
        <f t="shared" si="83"/>
        <v>1411482829.1847882</v>
      </c>
      <c r="BC150" s="10">
        <f t="shared" si="83"/>
        <v>1287199297.581408</v>
      </c>
      <c r="BD150" s="10">
        <f t="shared" si="83"/>
        <v>1173859148.2908893</v>
      </c>
      <c r="BE150" s="10">
        <f t="shared" si="83"/>
        <v>1070498797.3620805</v>
      </c>
      <c r="BF150" s="10">
        <f t="shared" si="83"/>
        <v>976239506.09590769</v>
      </c>
      <c r="BG150" s="10">
        <f t="shared" si="83"/>
        <v>890279910.27254629</v>
      </c>
      <c r="BH150" s="10">
        <f t="shared" si="83"/>
        <v>811889207.1932056</v>
      </c>
      <c r="BI150" s="10"/>
    </row>
    <row r="151" spans="1:61" hidden="1" x14ac:dyDescent="0.2">
      <c r="A151" t="s">
        <v>816</v>
      </c>
      <c r="B151" s="31"/>
      <c r="C151" s="109">
        <v>0.08</v>
      </c>
      <c r="D151" s="9">
        <f xml:space="preserve"> $C151</f>
        <v>0.08</v>
      </c>
      <c r="E151" s="9">
        <f t="shared" ref="E151:AP152" si="84" xml:space="preserve"> $C151</f>
        <v>0.08</v>
      </c>
      <c r="F151" s="9">
        <f t="shared" si="84"/>
        <v>0.08</v>
      </c>
      <c r="G151" s="9">
        <f t="shared" si="84"/>
        <v>0.08</v>
      </c>
      <c r="H151" s="9">
        <f t="shared" si="84"/>
        <v>0.08</v>
      </c>
      <c r="I151" s="9">
        <f t="shared" si="84"/>
        <v>0.08</v>
      </c>
      <c r="J151" s="9">
        <f t="shared" si="84"/>
        <v>0.08</v>
      </c>
      <c r="K151" s="9">
        <f t="shared" si="84"/>
        <v>0.08</v>
      </c>
      <c r="L151" s="9">
        <f t="shared" si="84"/>
        <v>0.08</v>
      </c>
      <c r="M151" s="9">
        <f t="shared" si="84"/>
        <v>0.08</v>
      </c>
      <c r="N151" s="9">
        <f t="shared" si="84"/>
        <v>0.08</v>
      </c>
      <c r="O151" s="9">
        <f t="shared" si="84"/>
        <v>0.08</v>
      </c>
      <c r="P151" s="9">
        <f t="shared" si="84"/>
        <v>0.08</v>
      </c>
      <c r="Q151" s="9">
        <f t="shared" si="84"/>
        <v>0.08</v>
      </c>
      <c r="R151" s="9">
        <f t="shared" si="84"/>
        <v>0.08</v>
      </c>
      <c r="S151" s="9">
        <f t="shared" si="84"/>
        <v>0.08</v>
      </c>
      <c r="T151" s="9">
        <f t="shared" si="84"/>
        <v>0.08</v>
      </c>
      <c r="U151" s="9">
        <f t="shared" si="84"/>
        <v>0.08</v>
      </c>
      <c r="V151" s="9">
        <f t="shared" si="84"/>
        <v>0.08</v>
      </c>
      <c r="W151" s="9">
        <f t="shared" si="84"/>
        <v>0.08</v>
      </c>
      <c r="X151" s="9">
        <f t="shared" si="84"/>
        <v>0.08</v>
      </c>
      <c r="Y151" s="9">
        <f t="shared" si="84"/>
        <v>0.08</v>
      </c>
      <c r="Z151" s="9">
        <f t="shared" si="84"/>
        <v>0.08</v>
      </c>
      <c r="AA151" s="9">
        <f t="shared" si="84"/>
        <v>0.08</v>
      </c>
      <c r="AB151" s="9">
        <f t="shared" si="84"/>
        <v>0.08</v>
      </c>
      <c r="AC151" s="9">
        <f t="shared" si="84"/>
        <v>0.08</v>
      </c>
      <c r="AD151" s="9">
        <f t="shared" si="84"/>
        <v>0.08</v>
      </c>
      <c r="AE151" s="9">
        <f t="shared" si="84"/>
        <v>0.08</v>
      </c>
      <c r="AF151" s="9">
        <f t="shared" si="84"/>
        <v>0.08</v>
      </c>
      <c r="AG151" s="9">
        <f t="shared" si="84"/>
        <v>0.08</v>
      </c>
      <c r="AH151" s="9">
        <f t="shared" si="84"/>
        <v>0.08</v>
      </c>
      <c r="AI151" s="9">
        <f t="shared" si="84"/>
        <v>0.08</v>
      </c>
      <c r="AJ151" s="9">
        <f t="shared" si="84"/>
        <v>0.08</v>
      </c>
      <c r="AK151" s="9">
        <f t="shared" si="84"/>
        <v>0.08</v>
      </c>
      <c r="AL151" s="9">
        <f t="shared" si="84"/>
        <v>0.08</v>
      </c>
      <c r="AM151" s="9">
        <f t="shared" si="84"/>
        <v>0.08</v>
      </c>
      <c r="AN151" s="9">
        <f t="shared" si="84"/>
        <v>0.08</v>
      </c>
      <c r="AO151" s="9">
        <f t="shared" si="84"/>
        <v>0.08</v>
      </c>
      <c r="AP151" s="9">
        <f t="shared" si="84"/>
        <v>0.08</v>
      </c>
      <c r="AQ151" s="9">
        <f t="shared" ref="AQ151:BH152" si="85" xml:space="preserve"> $C151</f>
        <v>0.08</v>
      </c>
      <c r="AR151" s="9">
        <f t="shared" si="85"/>
        <v>0.08</v>
      </c>
      <c r="AS151" s="9">
        <f t="shared" si="85"/>
        <v>0.08</v>
      </c>
      <c r="AT151" s="9">
        <f t="shared" si="85"/>
        <v>0.08</v>
      </c>
      <c r="AU151" s="9">
        <f t="shared" si="85"/>
        <v>0.08</v>
      </c>
      <c r="AV151" s="9">
        <f t="shared" si="85"/>
        <v>0.08</v>
      </c>
      <c r="AW151" s="9">
        <f t="shared" si="85"/>
        <v>0.08</v>
      </c>
      <c r="AX151" s="9">
        <f t="shared" si="85"/>
        <v>0.08</v>
      </c>
      <c r="AY151" s="9">
        <f t="shared" si="85"/>
        <v>0.08</v>
      </c>
      <c r="AZ151" s="9">
        <f t="shared" si="85"/>
        <v>0.08</v>
      </c>
      <c r="BA151" s="9">
        <f t="shared" si="85"/>
        <v>0.08</v>
      </c>
      <c r="BB151" s="9">
        <f t="shared" si="85"/>
        <v>0.08</v>
      </c>
      <c r="BC151" s="9">
        <f t="shared" si="85"/>
        <v>0.08</v>
      </c>
      <c r="BD151" s="9">
        <f t="shared" si="85"/>
        <v>0.08</v>
      </c>
      <c r="BE151" s="9">
        <f t="shared" si="85"/>
        <v>0.08</v>
      </c>
      <c r="BF151" s="9">
        <f t="shared" si="85"/>
        <v>0.08</v>
      </c>
      <c r="BG151" s="9">
        <f t="shared" si="85"/>
        <v>0.08</v>
      </c>
      <c r="BH151" s="9">
        <f t="shared" si="85"/>
        <v>0.08</v>
      </c>
      <c r="BI151" s="10"/>
    </row>
    <row r="152" spans="1:61" hidden="1" x14ac:dyDescent="0.2">
      <c r="A152" t="s">
        <v>817</v>
      </c>
      <c r="B152" s="31"/>
      <c r="C152" s="110">
        <v>30</v>
      </c>
      <c r="D152" s="5">
        <f xml:space="preserve"> $C152</f>
        <v>30</v>
      </c>
      <c r="E152" s="5">
        <f t="shared" si="84"/>
        <v>30</v>
      </c>
      <c r="F152" s="5">
        <f t="shared" si="84"/>
        <v>30</v>
      </c>
      <c r="G152" s="5">
        <f t="shared" si="84"/>
        <v>30</v>
      </c>
      <c r="H152" s="5">
        <f t="shared" si="84"/>
        <v>30</v>
      </c>
      <c r="I152" s="5">
        <f t="shared" si="84"/>
        <v>30</v>
      </c>
      <c r="J152" s="5">
        <f t="shared" si="84"/>
        <v>30</v>
      </c>
      <c r="K152" s="5">
        <f t="shared" si="84"/>
        <v>30</v>
      </c>
      <c r="L152" s="5">
        <f t="shared" si="84"/>
        <v>30</v>
      </c>
      <c r="M152" s="5">
        <f t="shared" si="84"/>
        <v>30</v>
      </c>
      <c r="N152" s="5">
        <f t="shared" si="84"/>
        <v>30</v>
      </c>
      <c r="O152" s="5">
        <f t="shared" si="84"/>
        <v>30</v>
      </c>
      <c r="P152" s="5">
        <f t="shared" si="84"/>
        <v>30</v>
      </c>
      <c r="Q152" s="5">
        <f t="shared" si="84"/>
        <v>30</v>
      </c>
      <c r="R152" s="5">
        <f t="shared" si="84"/>
        <v>30</v>
      </c>
      <c r="S152" s="5">
        <f t="shared" si="84"/>
        <v>30</v>
      </c>
      <c r="T152" s="5">
        <f t="shared" si="84"/>
        <v>30</v>
      </c>
      <c r="U152" s="5">
        <f t="shared" si="84"/>
        <v>30</v>
      </c>
      <c r="V152" s="5">
        <f t="shared" si="84"/>
        <v>30</v>
      </c>
      <c r="W152" s="5">
        <f t="shared" si="84"/>
        <v>30</v>
      </c>
      <c r="X152" s="5">
        <f t="shared" si="84"/>
        <v>30</v>
      </c>
      <c r="Y152" s="5">
        <f t="shared" si="84"/>
        <v>30</v>
      </c>
      <c r="Z152" s="5">
        <f t="shared" si="84"/>
        <v>30</v>
      </c>
      <c r="AA152" s="5">
        <f t="shared" si="84"/>
        <v>30</v>
      </c>
      <c r="AB152" s="5">
        <f t="shared" si="84"/>
        <v>30</v>
      </c>
      <c r="AC152" s="5">
        <f t="shared" si="84"/>
        <v>30</v>
      </c>
      <c r="AD152" s="5">
        <f t="shared" si="84"/>
        <v>30</v>
      </c>
      <c r="AE152" s="5">
        <f t="shared" si="84"/>
        <v>30</v>
      </c>
      <c r="AF152" s="5">
        <f t="shared" si="84"/>
        <v>30</v>
      </c>
      <c r="AG152" s="5">
        <f t="shared" si="84"/>
        <v>30</v>
      </c>
      <c r="AH152" s="5">
        <f t="shared" si="84"/>
        <v>30</v>
      </c>
      <c r="AI152" s="5">
        <f t="shared" si="84"/>
        <v>30</v>
      </c>
      <c r="AJ152" s="5">
        <f t="shared" si="84"/>
        <v>30</v>
      </c>
      <c r="AK152" s="5">
        <f t="shared" si="84"/>
        <v>30</v>
      </c>
      <c r="AL152" s="5">
        <f t="shared" si="84"/>
        <v>30</v>
      </c>
      <c r="AM152" s="5">
        <f t="shared" si="84"/>
        <v>30</v>
      </c>
      <c r="AN152" s="5">
        <f t="shared" si="84"/>
        <v>30</v>
      </c>
      <c r="AO152" s="5">
        <f t="shared" si="84"/>
        <v>30</v>
      </c>
      <c r="AP152" s="5">
        <f t="shared" si="84"/>
        <v>30</v>
      </c>
      <c r="AQ152" s="5">
        <f t="shared" si="85"/>
        <v>30</v>
      </c>
      <c r="AR152" s="5">
        <f t="shared" si="85"/>
        <v>30</v>
      </c>
      <c r="AS152" s="5">
        <f t="shared" si="85"/>
        <v>30</v>
      </c>
      <c r="AT152" s="5">
        <f t="shared" si="85"/>
        <v>30</v>
      </c>
      <c r="AU152" s="5">
        <f t="shared" si="85"/>
        <v>30</v>
      </c>
      <c r="AV152" s="5">
        <f t="shared" si="85"/>
        <v>30</v>
      </c>
      <c r="AW152" s="5">
        <f t="shared" si="85"/>
        <v>30</v>
      </c>
      <c r="AX152" s="5">
        <f t="shared" si="85"/>
        <v>30</v>
      </c>
      <c r="AY152" s="5">
        <f t="shared" si="85"/>
        <v>30</v>
      </c>
      <c r="AZ152" s="5">
        <f t="shared" si="85"/>
        <v>30</v>
      </c>
      <c r="BA152" s="5">
        <f t="shared" si="85"/>
        <v>30</v>
      </c>
      <c r="BB152" s="5">
        <f t="shared" si="85"/>
        <v>30</v>
      </c>
      <c r="BC152" s="5">
        <f t="shared" si="85"/>
        <v>30</v>
      </c>
      <c r="BD152" s="5">
        <f t="shared" si="85"/>
        <v>30</v>
      </c>
      <c r="BE152" s="5">
        <f t="shared" si="85"/>
        <v>30</v>
      </c>
      <c r="BF152" s="5">
        <f t="shared" si="85"/>
        <v>30</v>
      </c>
      <c r="BG152" s="5">
        <f t="shared" si="85"/>
        <v>30</v>
      </c>
      <c r="BH152" s="5">
        <f t="shared" si="85"/>
        <v>30</v>
      </c>
      <c r="BI152" s="10"/>
    </row>
    <row r="153" spans="1:61" s="82" customFormat="1" hidden="1" x14ac:dyDescent="0.2">
      <c r="A153" s="82" t="s">
        <v>707</v>
      </c>
      <c r="B153" s="156"/>
      <c r="C153" s="111">
        <f xml:space="preserve"> 12 * (C151/12*C150)/(1-POWER(C151/12+1,-C152*12))</f>
        <v>233108.21227383654</v>
      </c>
      <c r="D153" s="111">
        <f t="shared" ref="D153:BH153" si="86" xml:space="preserve"> 12 * (D151/12*D150)/(1-POWER(D151/12+1,-D152*12))</f>
        <v>3001493.9507891866</v>
      </c>
      <c r="E153" s="111">
        <f t="shared" si="86"/>
        <v>10076914.542232156</v>
      </c>
      <c r="F153" s="111">
        <f t="shared" si="86"/>
        <v>20490619.171042874</v>
      </c>
      <c r="G153" s="111">
        <f t="shared" si="86"/>
        <v>34391337.979711324</v>
      </c>
      <c r="H153" s="111">
        <f t="shared" si="86"/>
        <v>53007467.804821037</v>
      </c>
      <c r="I153" s="111">
        <f t="shared" si="86"/>
        <v>73524563.595527947</v>
      </c>
      <c r="J153" s="111">
        <f t="shared" si="86"/>
        <v>96127700.426739797</v>
      </c>
      <c r="K153" s="111">
        <f t="shared" si="86"/>
        <v>120414123.97372624</v>
      </c>
      <c r="L153" s="111">
        <f t="shared" si="86"/>
        <v>158986801.80469933</v>
      </c>
      <c r="M153" s="111">
        <f t="shared" si="86"/>
        <v>198589222.2169401</v>
      </c>
      <c r="N153" s="111">
        <f t="shared" si="86"/>
        <v>240143577.77797762</v>
      </c>
      <c r="O153" s="111">
        <f t="shared" si="86"/>
        <v>265288167.87845829</v>
      </c>
      <c r="P153" s="111">
        <f t="shared" si="86"/>
        <v>292216206.71802551</v>
      </c>
      <c r="Q153" s="111">
        <f t="shared" si="86"/>
        <v>321156599.36174673</v>
      </c>
      <c r="R153" s="111">
        <f t="shared" si="86"/>
        <v>336661219.97041464</v>
      </c>
      <c r="S153" s="111">
        <f t="shared" si="86"/>
        <v>350556843.0799256</v>
      </c>
      <c r="T153" s="111">
        <f t="shared" si="86"/>
        <v>363242028.17118818</v>
      </c>
      <c r="U153" s="111">
        <f t="shared" si="86"/>
        <v>372764945.73238325</v>
      </c>
      <c r="V153" s="111">
        <f t="shared" si="86"/>
        <v>380129885.86114687</v>
      </c>
      <c r="W153" s="111">
        <f t="shared" si="86"/>
        <v>385576751.40424258</v>
      </c>
      <c r="X153" s="111">
        <f t="shared" si="86"/>
        <v>389327523.36926794</v>
      </c>
      <c r="Y153" s="111">
        <f t="shared" si="86"/>
        <v>391587907.26625502</v>
      </c>
      <c r="Z153" s="111">
        <f t="shared" si="86"/>
        <v>393155404.28295088</v>
      </c>
      <c r="AA153" s="111">
        <f t="shared" si="86"/>
        <v>392341902.62651807</v>
      </c>
      <c r="AB153" s="111">
        <f t="shared" si="86"/>
        <v>390624191.02264464</v>
      </c>
      <c r="AC153" s="111">
        <f t="shared" si="86"/>
        <v>388152281.79863507</v>
      </c>
      <c r="AD153" s="111">
        <f t="shared" si="86"/>
        <v>385469100.69292462</v>
      </c>
      <c r="AE153" s="111">
        <f t="shared" si="86"/>
        <v>381743971.20869941</v>
      </c>
      <c r="AF153" s="111">
        <f t="shared" si="86"/>
        <v>378085804.06711137</v>
      </c>
      <c r="AG153" s="111">
        <f t="shared" si="86"/>
        <v>359140073.25083083</v>
      </c>
      <c r="AH153" s="111">
        <f t="shared" si="86"/>
        <v>341204740.70837265</v>
      </c>
      <c r="AI153" s="111">
        <f t="shared" si="86"/>
        <v>324468617.94540143</v>
      </c>
      <c r="AJ153" s="111">
        <f t="shared" si="86"/>
        <v>308470152.43052858</v>
      </c>
      <c r="AK153" s="111">
        <f t="shared" si="86"/>
        <v>294243561.89553088</v>
      </c>
      <c r="AL153" s="111">
        <f t="shared" si="86"/>
        <v>281157001.95169842</v>
      </c>
      <c r="AM153" s="111">
        <f t="shared" si="86"/>
        <v>265984769.54116988</v>
      </c>
      <c r="AN153" s="111">
        <f t="shared" si="86"/>
        <v>251694799.29566714</v>
      </c>
      <c r="AO153" s="111">
        <f t="shared" si="86"/>
        <v>238802882.45024687</v>
      </c>
      <c r="AP153" s="111">
        <f t="shared" si="86"/>
        <v>227294228.43728906</v>
      </c>
      <c r="AQ153" s="111">
        <f t="shared" si="86"/>
        <v>217159795.36903611</v>
      </c>
      <c r="AR153" s="111">
        <f t="shared" si="86"/>
        <v>208395877.44529986</v>
      </c>
      <c r="AS153" s="111">
        <f t="shared" si="86"/>
        <v>201003730.56557837</v>
      </c>
      <c r="AT153" s="111">
        <f t="shared" si="86"/>
        <v>194989232.81782261</v>
      </c>
      <c r="AU153" s="111">
        <f t="shared" si="86"/>
        <v>189881751.76705939</v>
      </c>
      <c r="AV153" s="111">
        <f t="shared" si="86"/>
        <v>186077317.22397703</v>
      </c>
      <c r="AW153" s="111">
        <f t="shared" si="86"/>
        <v>183743950.27200669</v>
      </c>
      <c r="AX153" s="111">
        <f t="shared" si="86"/>
        <v>176249615.38918951</v>
      </c>
      <c r="AY153" s="111">
        <f t="shared" si="86"/>
        <v>163871338.52078623</v>
      </c>
      <c r="AZ153" s="111">
        <f t="shared" si="86"/>
        <v>149442180.57509646</v>
      </c>
      <c r="BA153" s="111">
        <f t="shared" si="86"/>
        <v>136283535.2211816</v>
      </c>
      <c r="BB153" s="111">
        <f t="shared" si="86"/>
        <v>124283531.60338016</v>
      </c>
      <c r="BC153" s="111">
        <f t="shared" si="86"/>
        <v>113340149.29051873</v>
      </c>
      <c r="BD153" s="111">
        <f t="shared" si="86"/>
        <v>103360350.92880882</v>
      </c>
      <c r="BE153" s="111">
        <f t="shared" si="86"/>
        <v>94259291.266172782</v>
      </c>
      <c r="BF153" s="111">
        <f t="shared" si="86"/>
        <v>85959595.823361337</v>
      </c>
      <c r="BG153" s="111">
        <f t="shared" si="86"/>
        <v>78390703.079340652</v>
      </c>
      <c r="BH153" s="111">
        <f t="shared" si="86"/>
        <v>71488264.578406587</v>
      </c>
      <c r="BI153" s="83"/>
    </row>
    <row r="154" spans="1:61" s="80" customFormat="1" hidden="1" x14ac:dyDescent="0.2">
      <c r="A154" s="80" t="s">
        <v>708</v>
      </c>
      <c r="B154" s="163"/>
      <c r="C154" s="207">
        <f xml:space="preserve"> C135-C146-C153</f>
        <v>-2639835.6122738365</v>
      </c>
      <c r="D154" s="207">
        <f xml:space="preserve"> D135-D146-D153</f>
        <v>-5444322.2617891859</v>
      </c>
      <c r="E154" s="207">
        <f t="shared" ref="E154:BH154" si="87" xml:space="preserve"> E135-E146-E153</f>
        <v>-12556385.277897155</v>
      </c>
      <c r="F154" s="207">
        <f t="shared" si="87"/>
        <v>-18544551.993769556</v>
      </c>
      <c r="G154" s="207">
        <f t="shared" si="87"/>
        <v>-26077778.572365977</v>
      </c>
      <c r="H154" s="207">
        <f t="shared" si="87"/>
        <v>-23726290.962539464</v>
      </c>
      <c r="I154" s="207">
        <f t="shared" si="87"/>
        <v>-18870272.133376047</v>
      </c>
      <c r="J154" s="207">
        <f t="shared" si="87"/>
        <v>-14995616.223644197</v>
      </c>
      <c r="K154" s="207">
        <f t="shared" si="87"/>
        <v>-10800922.375880003</v>
      </c>
      <c r="L154" s="207">
        <f t="shared" si="87"/>
        <v>-18475531.724864274</v>
      </c>
      <c r="M154" s="207">
        <f t="shared" si="87"/>
        <v>-30833092.489523828</v>
      </c>
      <c r="N154" s="207">
        <f t="shared" si="87"/>
        <v>-38477449.101252168</v>
      </c>
      <c r="O154" s="207">
        <f t="shared" si="87"/>
        <v>-27737868.804375678</v>
      </c>
      <c r="P154" s="207">
        <f t="shared" si="87"/>
        <v>-22682289.337465763</v>
      </c>
      <c r="Q154" s="207">
        <f t="shared" si="87"/>
        <v>-18320969.831295609</v>
      </c>
      <c r="R154" s="207">
        <f t="shared" si="87"/>
        <v>166078.31727707386</v>
      </c>
      <c r="S154" s="207">
        <f t="shared" si="87"/>
        <v>21106779.415199697</v>
      </c>
      <c r="T154" s="207">
        <f t="shared" si="87"/>
        <v>44930108.316395223</v>
      </c>
      <c r="U154" s="207">
        <f t="shared" si="87"/>
        <v>73705275.753834844</v>
      </c>
      <c r="V154" s="207">
        <f t="shared" si="87"/>
        <v>99678433.347212255</v>
      </c>
      <c r="W154" s="207">
        <f t="shared" si="87"/>
        <v>127449164.62588948</v>
      </c>
      <c r="X154" s="207">
        <f t="shared" si="87"/>
        <v>156769830.71459401</v>
      </c>
      <c r="Y154" s="207">
        <f t="shared" si="87"/>
        <v>187408496.41475487</v>
      </c>
      <c r="Z154" s="207">
        <f t="shared" si="87"/>
        <v>218540847.12091589</v>
      </c>
      <c r="AA154" s="207">
        <f t="shared" si="87"/>
        <v>259027171.79389125</v>
      </c>
      <c r="AB154" s="207">
        <f t="shared" si="87"/>
        <v>293031610.65181994</v>
      </c>
      <c r="AC154" s="207">
        <f t="shared" si="87"/>
        <v>327504716.16045934</v>
      </c>
      <c r="AD154" s="207">
        <f t="shared" si="87"/>
        <v>361874251.00465083</v>
      </c>
      <c r="AE154" s="207">
        <f t="shared" si="87"/>
        <v>399277532.01607567</v>
      </c>
      <c r="AF154" s="207">
        <f t="shared" si="87"/>
        <v>433954780.45846927</v>
      </c>
      <c r="AG154" s="207">
        <f t="shared" si="87"/>
        <v>485913186.91013366</v>
      </c>
      <c r="AH154" s="207">
        <f t="shared" si="87"/>
        <v>534057341.24779934</v>
      </c>
      <c r="AI154" s="207">
        <f t="shared" si="87"/>
        <v>577963183.95486712</v>
      </c>
      <c r="AJ154" s="207">
        <f t="shared" si="87"/>
        <v>620731374.28373098</v>
      </c>
      <c r="AK154" s="207">
        <f t="shared" si="87"/>
        <v>658767284.91558766</v>
      </c>
      <c r="AL154" s="207">
        <f t="shared" si="87"/>
        <v>697677928.64621031</v>
      </c>
      <c r="AM154" s="207">
        <f t="shared" si="87"/>
        <v>738177823.20414782</v>
      </c>
      <c r="AN154" s="207">
        <f t="shared" si="87"/>
        <v>782314022.21514606</v>
      </c>
      <c r="AO154" s="207">
        <f t="shared" si="87"/>
        <v>819431486.73427463</v>
      </c>
      <c r="AP154" s="207">
        <f t="shared" si="87"/>
        <v>854563640.28532243</v>
      </c>
      <c r="AQ154" s="207">
        <f t="shared" si="87"/>
        <v>887683329.06824005</v>
      </c>
      <c r="AR154" s="207">
        <f t="shared" si="87"/>
        <v>918757272.10777211</v>
      </c>
      <c r="AS154" s="207">
        <f t="shared" si="87"/>
        <v>947746419.35384071</v>
      </c>
      <c r="AT154" s="207">
        <f t="shared" si="87"/>
        <v>974606274.58416259</v>
      </c>
      <c r="AU154" s="207">
        <f t="shared" si="87"/>
        <v>1004732292.7623825</v>
      </c>
      <c r="AV154" s="207">
        <f t="shared" si="87"/>
        <v>1030605520.1678681</v>
      </c>
      <c r="AW154" s="207">
        <f t="shared" si="87"/>
        <v>1051310649.7406139</v>
      </c>
      <c r="AX154" s="207">
        <f t="shared" si="87"/>
        <v>1081473813.9776928</v>
      </c>
      <c r="AY154" s="207">
        <f t="shared" si="87"/>
        <v>1118509721.8486238</v>
      </c>
      <c r="AZ154" s="207">
        <f t="shared" si="87"/>
        <v>1150773037.1491239</v>
      </c>
      <c r="BA154" s="207">
        <f t="shared" si="87"/>
        <v>1188634723.296941</v>
      </c>
      <c r="BB154" s="207">
        <f t="shared" si="87"/>
        <v>1216594558.9632225</v>
      </c>
      <c r="BC154" s="207">
        <f t="shared" si="87"/>
        <v>1242615542.8488441</v>
      </c>
      <c r="BD154" s="207">
        <f t="shared" si="87"/>
        <v>1266834182.8584049</v>
      </c>
      <c r="BE154" s="207">
        <f t="shared" si="87"/>
        <v>1286256544.375</v>
      </c>
      <c r="BF154" s="207">
        <f t="shared" si="87"/>
        <v>1304066474.3414016</v>
      </c>
      <c r="BG154" s="207">
        <f t="shared" si="87"/>
        <v>1320385064.6749265</v>
      </c>
      <c r="BH154" s="207">
        <f t="shared" si="87"/>
        <v>1339886341.6611397</v>
      </c>
      <c r="BI154" s="81"/>
    </row>
    <row r="155" spans="1:61" hidden="1" x14ac:dyDescent="0.2">
      <c r="A155" t="s">
        <v>636</v>
      </c>
      <c r="C155" s="9">
        <f>(C135-C140-C143)/MAX($C144:$AM144)</f>
        <v>-6.2874293406051357E-4</v>
      </c>
      <c r="D155" s="9">
        <f t="shared" ref="D155:BH155" si="88">(D135-D140)/MAX($C144:$AM144)</f>
        <v>-6.2874293406051357E-4</v>
      </c>
      <c r="E155" s="9">
        <f t="shared" si="88"/>
        <v>-6.2874293406051357E-4</v>
      </c>
      <c r="F155" s="9">
        <f t="shared" si="88"/>
        <v>8.1200724249898195E-4</v>
      </c>
      <c r="G155" s="9">
        <f t="shared" si="88"/>
        <v>2.9213236061016216E-3</v>
      </c>
      <c r="H155" s="9">
        <f t="shared" si="88"/>
        <v>9.1889559555084366E-3</v>
      </c>
      <c r="I155" s="9">
        <f t="shared" si="88"/>
        <v>1.684399484348904E-2</v>
      </c>
      <c r="J155" s="9">
        <f t="shared" si="88"/>
        <v>2.508676856522972E-2</v>
      </c>
      <c r="K155" s="9">
        <f t="shared" si="88"/>
        <v>3.4159864377951807E-2</v>
      </c>
      <c r="L155" s="9">
        <f t="shared" si="88"/>
        <v>4.4183370216735254E-2</v>
      </c>
      <c r="M155" s="9">
        <f t="shared" si="88"/>
        <v>5.8189145860709078E-2</v>
      </c>
      <c r="N155" s="9">
        <f t="shared" si="88"/>
        <v>7.0011957236833441E-2</v>
      </c>
      <c r="O155" s="9">
        <f t="shared" si="88"/>
        <v>8.2735798246608719E-2</v>
      </c>
      <c r="P155" s="9">
        <f t="shared" si="88"/>
        <v>9.4609131048555464E-2</v>
      </c>
      <c r="Q155" s="9">
        <f t="shared" si="88"/>
        <v>0.10720833970000512</v>
      </c>
      <c r="R155" s="9">
        <f t="shared" si="88"/>
        <v>0.12042122390872108</v>
      </c>
      <c r="S155" s="9">
        <f t="shared" si="88"/>
        <v>0.13404177635504433</v>
      </c>
      <c r="T155" s="9">
        <f t="shared" si="88"/>
        <v>0.14851047146148322</v>
      </c>
      <c r="U155" s="9">
        <f t="shared" si="88"/>
        <v>0.16315480786005929</v>
      </c>
      <c r="V155" s="9">
        <f t="shared" si="88"/>
        <v>0.17637150755710654</v>
      </c>
      <c r="W155" s="9">
        <f t="shared" si="88"/>
        <v>0.18980060889558914</v>
      </c>
      <c r="X155" s="9">
        <f t="shared" si="88"/>
        <v>0.20344211187550712</v>
      </c>
      <c r="Y155" s="9">
        <f t="shared" si="88"/>
        <v>0.21729601649686056</v>
      </c>
      <c r="Z155" s="9">
        <f t="shared" si="88"/>
        <v>0.23136232275964941</v>
      </c>
      <c r="AA155" s="9">
        <f t="shared" si="88"/>
        <v>0.24811535660233094</v>
      </c>
      <c r="AB155" s="9">
        <f t="shared" si="88"/>
        <v>0.26265385464243624</v>
      </c>
      <c r="AC155" s="9">
        <f t="shared" si="88"/>
        <v>0.27740475432397688</v>
      </c>
      <c r="AD155" s="9">
        <f t="shared" si="88"/>
        <v>0.29236805564695301</v>
      </c>
      <c r="AE155" s="9">
        <f t="shared" si="88"/>
        <v>0.30822504521398819</v>
      </c>
      <c r="AF155" s="9">
        <f t="shared" si="88"/>
        <v>0.3236322651870735</v>
      </c>
      <c r="AG155" s="9">
        <f t="shared" si="88"/>
        <v>0.33995562885300834</v>
      </c>
      <c r="AH155" s="9">
        <f t="shared" si="88"/>
        <v>0.35607673711937043</v>
      </c>
      <c r="AI155" s="9">
        <f t="shared" si="88"/>
        <v>0.37109851243908154</v>
      </c>
      <c r="AJ155" s="9">
        <f t="shared" si="88"/>
        <v>0.38633268940022808</v>
      </c>
      <c r="AK155" s="9">
        <f t="shared" si="88"/>
        <v>0.40103061505381515</v>
      </c>
      <c r="AL155" s="9">
        <f t="shared" si="88"/>
        <v>0.41667047993059392</v>
      </c>
      <c r="AM155" s="9">
        <f t="shared" si="88"/>
        <v>0.43252274644880812</v>
      </c>
      <c r="AN155" s="9">
        <f t="shared" si="88"/>
        <v>0.45079291549556533</v>
      </c>
      <c r="AO155" s="9">
        <f t="shared" si="88"/>
        <v>0.46709825842385777</v>
      </c>
      <c r="AP155" s="9">
        <f t="shared" si="88"/>
        <v>0.48361600299358543</v>
      </c>
      <c r="AQ155" s="9">
        <f t="shared" si="88"/>
        <v>0.5003461492047484</v>
      </c>
      <c r="AR155" s="9">
        <f t="shared" si="88"/>
        <v>0.51728869705734692</v>
      </c>
      <c r="AS155" s="9">
        <f t="shared" si="88"/>
        <v>0.53444364655138088</v>
      </c>
      <c r="AT155" s="9">
        <f t="shared" si="88"/>
        <v>0.55181099768685038</v>
      </c>
      <c r="AU155" s="9">
        <f t="shared" si="88"/>
        <v>0.57179416324131294</v>
      </c>
      <c r="AV155" s="9">
        <f t="shared" si="88"/>
        <v>0.59048674870420215</v>
      </c>
      <c r="AW155" s="9">
        <f t="shared" si="88"/>
        <v>0.60853869325842347</v>
      </c>
      <c r="AX155" s="9">
        <f t="shared" si="88"/>
        <v>0.62575069750137424</v>
      </c>
      <c r="AY155" s="9">
        <f t="shared" si="88"/>
        <v>0.64373063690799237</v>
      </c>
      <c r="AZ155" s="9">
        <f t="shared" si="88"/>
        <v>0.65976887584953792</v>
      </c>
      <c r="BA155" s="9">
        <f t="shared" si="88"/>
        <v>0.67914021385270817</v>
      </c>
      <c r="BB155" s="9">
        <f t="shared" si="88"/>
        <v>0.6948893432517107</v>
      </c>
      <c r="BC155" s="9">
        <f t="shared" si="88"/>
        <v>0.71047022363221968</v>
      </c>
      <c r="BD155" s="9">
        <f t="shared" si="88"/>
        <v>0.72588285499423433</v>
      </c>
      <c r="BE155" s="9">
        <f t="shared" si="88"/>
        <v>0.7401540299008561</v>
      </c>
      <c r="BF155" s="9">
        <f t="shared" si="88"/>
        <v>0.75422661269734992</v>
      </c>
      <c r="BG155" s="9">
        <f t="shared" si="88"/>
        <v>0.76810060338371589</v>
      </c>
      <c r="BH155" s="9">
        <f t="shared" si="88"/>
        <v>0.78454696539120505</v>
      </c>
      <c r="BI155" s="9"/>
    </row>
    <row r="156" spans="1:61" hidden="1" x14ac:dyDescent="0.2">
      <c r="A156" t="s">
        <v>648</v>
      </c>
      <c r="C156" s="10" t="e">
        <f>SUM(C41,C50,C25,C77,C93,#REF!)</f>
        <v>#REF!</v>
      </c>
      <c r="D156" s="10" t="e">
        <f>SUM(D41,D50,D25,D77,D93,#REF!)</f>
        <v>#REF!</v>
      </c>
      <c r="E156" s="10" t="e">
        <f>SUM(E41,E50,E25,E77,E93,#REF!)</f>
        <v>#REF!</v>
      </c>
      <c r="F156" s="10" t="e">
        <f>SUM(F41,F50,F25,F77,F93,#REF!)</f>
        <v>#REF!</v>
      </c>
      <c r="G156" s="10" t="e">
        <f>SUM(G41,G50,G25,G77,G93,#REF!)</f>
        <v>#REF!</v>
      </c>
      <c r="H156" s="10" t="e">
        <f>SUM(H41,H50,H25,H77,H93,#REF!)</f>
        <v>#REF!</v>
      </c>
      <c r="I156" s="10" t="e">
        <f>SUM(I41,I50,I25,I77,I93,#REF!)</f>
        <v>#REF!</v>
      </c>
      <c r="J156" s="10" t="e">
        <f>SUM(J41,J50,J25,J77,J93,#REF!)</f>
        <v>#REF!</v>
      </c>
      <c r="K156" s="10" t="e">
        <f>SUM(K41,K50,K25,K77,K93,#REF!)</f>
        <v>#REF!</v>
      </c>
      <c r="L156" s="10" t="e">
        <f>SUM(L41,L50,L25,L77,L93,#REF!)</f>
        <v>#REF!</v>
      </c>
      <c r="M156" s="10" t="e">
        <f>SUM(M41,M50,M25,M77,M93,#REF!)</f>
        <v>#REF!</v>
      </c>
      <c r="N156" s="10" t="e">
        <f>SUM(N41,N50,N25,N77,N93,#REF!)</f>
        <v>#REF!</v>
      </c>
      <c r="O156" s="10" t="e">
        <f>SUM(O41,O50,O25,O77,O93,#REF!)</f>
        <v>#REF!</v>
      </c>
      <c r="P156" s="10" t="e">
        <f>SUM(P41,P50,P25,P77,P93,#REF!)</f>
        <v>#REF!</v>
      </c>
      <c r="Q156" s="10" t="e">
        <f>SUM(Q41,Q50,Q25,Q77,Q93,#REF!)</f>
        <v>#REF!</v>
      </c>
      <c r="R156" s="10" t="e">
        <f>SUM(R41,R50,R25,R77,R93,#REF!)</f>
        <v>#REF!</v>
      </c>
      <c r="S156" s="10" t="e">
        <f>SUM(S41,S50,S25,S77,S93,#REF!)</f>
        <v>#REF!</v>
      </c>
      <c r="T156" s="10" t="e">
        <f>SUM(T41,T50,T25,T77,T93,#REF!)</f>
        <v>#REF!</v>
      </c>
      <c r="U156" s="10" t="e">
        <f>SUM(U41,U50,U25,U77,U93,#REF!)</f>
        <v>#REF!</v>
      </c>
      <c r="V156" s="10" t="e">
        <f>SUM(V41,V50,V25,V77,V93,#REF!)</f>
        <v>#REF!</v>
      </c>
      <c r="W156" s="10" t="e">
        <f>SUM(W41,W50,W25,W77,W93,#REF!)</f>
        <v>#REF!</v>
      </c>
      <c r="X156" s="10" t="e">
        <f>SUM(X41,X50,X25,X77,X93,#REF!)</f>
        <v>#REF!</v>
      </c>
      <c r="Y156" s="10" t="e">
        <f>SUM(Y41,Y50,Y25,Y77,Y93,#REF!)</f>
        <v>#REF!</v>
      </c>
      <c r="Z156" s="10" t="e">
        <f>SUM(Z41,Z50,Z25,Z77,Z93,#REF!)</f>
        <v>#REF!</v>
      </c>
      <c r="AA156" s="10" t="e">
        <f>SUM(AA41,AA50,AA25,AA77,AA93,#REF!)</f>
        <v>#REF!</v>
      </c>
      <c r="AB156" s="10" t="e">
        <f>SUM(AB41,AB50,AB25,AB77,AB93,#REF!)</f>
        <v>#REF!</v>
      </c>
      <c r="AC156" s="10" t="e">
        <f>SUM(AC41,AC50,AC25,AC77,AC93,#REF!)</f>
        <v>#REF!</v>
      </c>
      <c r="AD156" s="10" t="e">
        <f>SUM(AD41,AD50,AD25,AD77,AD93,#REF!)</f>
        <v>#REF!</v>
      </c>
      <c r="AE156" s="10" t="e">
        <f>SUM(AE41,AE50,AE25,AE77,AE93,#REF!)</f>
        <v>#REF!</v>
      </c>
      <c r="AF156" s="10" t="e">
        <f>SUM(AF41,AF50,AF25,AF77,AF93,#REF!)</f>
        <v>#REF!</v>
      </c>
      <c r="AG156" s="10" t="e">
        <f>SUM(AG41,AG50,AG25,AG77,AG93,#REF!)</f>
        <v>#REF!</v>
      </c>
      <c r="AH156" s="10" t="e">
        <f>SUM(AH41,AH50,AH25,AH77,AH93,#REF!)</f>
        <v>#REF!</v>
      </c>
      <c r="AI156" s="10" t="e">
        <f>SUM(AI41,AI50,AI25,AI77,AI93,#REF!)</f>
        <v>#REF!</v>
      </c>
      <c r="AJ156" s="10" t="e">
        <f>SUM(AJ41,AJ50,AJ25,AJ77,AJ93,#REF!)</f>
        <v>#REF!</v>
      </c>
      <c r="AK156" s="10" t="e">
        <f>SUM(AK41,AK50,AK25,AK77,AK93,#REF!)</f>
        <v>#REF!</v>
      </c>
      <c r="AL156" s="10" t="e">
        <f>SUM(AL41,AL50,AL25,AL77,AL93,#REF!)</f>
        <v>#REF!</v>
      </c>
      <c r="AM156" s="10" t="e">
        <f>SUM(AM41,AM50,AM25,AM77,AM93,#REF!)</f>
        <v>#REF!</v>
      </c>
      <c r="AN156" s="10" t="e">
        <f>SUM(AN41,AN50,AN25,AN77,AN93,#REF!)</f>
        <v>#REF!</v>
      </c>
      <c r="AO156" s="10" t="e">
        <f>SUM(AO41,AO50,AO25,AO77,AO93,#REF!)</f>
        <v>#REF!</v>
      </c>
      <c r="AP156" s="10" t="e">
        <f>SUM(AP41,AP50,AP25,AP77,AP93,#REF!)</f>
        <v>#REF!</v>
      </c>
      <c r="AQ156" s="10" t="e">
        <f>SUM(AQ41,AQ50,AQ25,AQ77,AQ93,#REF!)</f>
        <v>#REF!</v>
      </c>
      <c r="AR156" s="10" t="e">
        <f>SUM(AR41,AR50,AR25,AR77,AR93,#REF!)</f>
        <v>#REF!</v>
      </c>
      <c r="AS156" s="10" t="e">
        <f>SUM(AS41,AS50,AS25,AS77,AS93,#REF!)</f>
        <v>#REF!</v>
      </c>
      <c r="AT156" s="10" t="e">
        <f>SUM(AT41,AT50,AT25,AT77,AT93,#REF!)</f>
        <v>#REF!</v>
      </c>
      <c r="AU156" s="10" t="e">
        <f>SUM(AU41,AU50,AU25,AU77,AU93,#REF!)</f>
        <v>#REF!</v>
      </c>
      <c r="AV156" s="10" t="e">
        <f>SUM(AV41,AV50,AV25,AV77,AV93,#REF!)</f>
        <v>#REF!</v>
      </c>
      <c r="AW156" s="10" t="e">
        <f>SUM(AW41,AW50,AW25,AW77,AW93,#REF!)</f>
        <v>#REF!</v>
      </c>
      <c r="AX156" s="10" t="e">
        <f>SUM(AX41,AX50,AX25,AX77,AX93,#REF!)</f>
        <v>#REF!</v>
      </c>
      <c r="AY156" s="10" t="e">
        <f>SUM(AY41,AY50,AY25,AY77,AY93,#REF!)</f>
        <v>#REF!</v>
      </c>
      <c r="AZ156" s="10" t="e">
        <f>SUM(AZ41,AZ50,AZ25,AZ77,AZ93,#REF!)</f>
        <v>#REF!</v>
      </c>
      <c r="BA156" s="10" t="e">
        <f>SUM(BA41,BA50,BA25,BA77,BA93,#REF!)</f>
        <v>#REF!</v>
      </c>
      <c r="BB156" s="10" t="e">
        <f>SUM(BB41,BB50,BB25,BB77,BB93,#REF!)</f>
        <v>#REF!</v>
      </c>
      <c r="BC156" s="10" t="e">
        <f>SUM(BC41,BC50,BC25,BC77,BC93,#REF!)</f>
        <v>#REF!</v>
      </c>
      <c r="BD156" s="10" t="e">
        <f>SUM(BD41,BD50,BD25,BD77,BD93,#REF!)</f>
        <v>#REF!</v>
      </c>
      <c r="BE156" s="10" t="e">
        <f>SUM(BE41,BE50,BE25,BE77,BE93,#REF!)</f>
        <v>#REF!</v>
      </c>
      <c r="BF156" s="10" t="e">
        <f>SUM(BF41,BF50,BF25,BF77,BF93,#REF!)</f>
        <v>#REF!</v>
      </c>
      <c r="BG156" s="10" t="e">
        <f>SUM(BG41,BG50,BG25,BG77,BG93,#REF!)</f>
        <v>#REF!</v>
      </c>
      <c r="BH156" s="10" t="e">
        <f>SUM(BH41,BH50,BH25,BH77,BH93,#REF!)</f>
        <v>#REF!</v>
      </c>
      <c r="BI156" s="10"/>
    </row>
    <row r="157" spans="1:61" hidden="1" x14ac:dyDescent="0.2">
      <c r="A157" t="s">
        <v>742</v>
      </c>
      <c r="C157" s="40">
        <f xml:space="preserve"> C135-C138-C146+C150-C153</f>
        <v>7564.5277261636802</v>
      </c>
      <c r="D157" s="40">
        <f xml:space="preserve"> D135-D138-D146+D150-D153</f>
        <v>2292211.4625641708</v>
      </c>
      <c r="E157" s="40">
        <f xml:space="preserve"> E135-E138-E146+E150-E153</f>
        <v>28587317.898412362</v>
      </c>
      <c r="F157" s="40">
        <f xml:space="preserve"> F135-F138-F146+F150-F153</f>
        <v>95543279.856060579</v>
      </c>
      <c r="G157" s="40">
        <f xml:space="preserve"> G135-G138-G146+G150-G153</f>
        <v>194043731.59053782</v>
      </c>
      <c r="H157" s="40">
        <f t="shared" ref="H157:BH157" si="89" xml:space="preserve"> H135-H138-H146+H150-H153</f>
        <v>325528891.65154612</v>
      </c>
      <c r="I157" s="40">
        <f t="shared" si="89"/>
        <v>501473296.79265684</v>
      </c>
      <c r="J157" s="40">
        <f t="shared" si="89"/>
        <v>695383781.24362981</v>
      </c>
      <c r="K157" s="40">
        <f t="shared" si="89"/>
        <v>908989834.2020334</v>
      </c>
      <c r="L157" s="40">
        <f t="shared" si="89"/>
        <v>1138908331.350431</v>
      </c>
      <c r="M157" s="40">
        <f t="shared" si="89"/>
        <v>1503371274.7208588</v>
      </c>
      <c r="N157" s="40">
        <f t="shared" si="89"/>
        <v>1877593014.7832901</v>
      </c>
      <c r="O157" s="40">
        <f t="shared" si="89"/>
        <v>2269660528.1189299</v>
      </c>
      <c r="P157" s="40">
        <f t="shared" si="89"/>
        <v>2507281143.7170234</v>
      </c>
      <c r="Q157" s="40">
        <f t="shared" si="89"/>
        <v>2761758973.8207254</v>
      </c>
      <c r="R157" s="40">
        <f t="shared" si="89"/>
        <v>3034747952.1929364</v>
      </c>
      <c r="S157" s="40">
        <f t="shared" si="89"/>
        <v>3181181331.471302</v>
      </c>
      <c r="T157" s="40">
        <f t="shared" si="89"/>
        <v>3312426050.0176153</v>
      </c>
      <c r="U157" s="40">
        <f t="shared" si="89"/>
        <v>3432171372.9743819</v>
      </c>
      <c r="V157" s="40">
        <f t="shared" si="89"/>
        <v>3522072603.0227799</v>
      </c>
      <c r="W157" s="40">
        <f t="shared" si="89"/>
        <v>3591593334.4584179</v>
      </c>
      <c r="X157" s="40">
        <f t="shared" si="89"/>
        <v>3642999555.8784804</v>
      </c>
      <c r="Y157" s="40">
        <f t="shared" si="89"/>
        <v>3678387986.1534338</v>
      </c>
      <c r="Z157" s="40">
        <f t="shared" si="89"/>
        <v>3699721307.761714</v>
      </c>
      <c r="AA157" s="40">
        <f t="shared" si="89"/>
        <v>3714453545.8921838</v>
      </c>
      <c r="AB157" s="40">
        <f t="shared" si="89"/>
        <v>3706738348.2328544</v>
      </c>
      <c r="AC157" s="40">
        <f t="shared" si="89"/>
        <v>3690485163.3154364</v>
      </c>
      <c r="AD157" s="40">
        <f t="shared" si="89"/>
        <v>3667124037.9673648</v>
      </c>
      <c r="AE157" s="40">
        <f t="shared" si="89"/>
        <v>3641739887.9490838</v>
      </c>
      <c r="AF157" s="40">
        <f t="shared" si="89"/>
        <v>3606547533.2407374</v>
      </c>
      <c r="AG157" s="40">
        <f t="shared" si="89"/>
        <v>3571489564.5161829</v>
      </c>
      <c r="AH157" s="40">
        <f t="shared" si="89"/>
        <v>3392525608.9144797</v>
      </c>
      <c r="AI157" s="40">
        <f t="shared" si="89"/>
        <v>3223113888.8236217</v>
      </c>
      <c r="AJ157" s="40">
        <f t="shared" si="89"/>
        <v>3065017165.4482007</v>
      </c>
      <c r="AK157" s="40">
        <f t="shared" si="89"/>
        <v>2913923290.6996861</v>
      </c>
      <c r="AL157" s="40">
        <f t="shared" si="89"/>
        <v>2779549351.1862011</v>
      </c>
      <c r="AM157" s="40">
        <f t="shared" si="89"/>
        <v>2655841592.635745</v>
      </c>
      <c r="AN157" s="40">
        <f t="shared" si="89"/>
        <v>2512524989.7444453</v>
      </c>
      <c r="AO157" s="40">
        <f t="shared" si="89"/>
        <v>2377560620.1838593</v>
      </c>
      <c r="AP157" s="40">
        <f t="shared" si="89"/>
        <v>2255804393.1513772</v>
      </c>
      <c r="AQ157" s="40">
        <f t="shared" si="89"/>
        <v>2147116755.8809876</v>
      </c>
      <c r="AR157" s="40">
        <f t="shared" si="89"/>
        <v>2051412454.980159</v>
      </c>
      <c r="AS157" s="40">
        <f t="shared" si="89"/>
        <v>1968656639.5525169</v>
      </c>
      <c r="AT157" s="40">
        <f t="shared" si="89"/>
        <v>1898861325.1627147</v>
      </c>
      <c r="AU157" s="40">
        <f t="shared" si="89"/>
        <v>1842066584.0972631</v>
      </c>
      <c r="AV157" s="40">
        <f t="shared" si="89"/>
        <v>1793854067.5429687</v>
      </c>
      <c r="AW157" s="40">
        <f t="shared" si="89"/>
        <v>1757958013.4078674</v>
      </c>
      <c r="AX157" s="40">
        <f t="shared" si="89"/>
        <v>1735745195.8443494</v>
      </c>
      <c r="AY157" s="40">
        <f t="shared" si="89"/>
        <v>1664781229.7017741</v>
      </c>
      <c r="AZ157" s="40">
        <f t="shared" si="89"/>
        <v>1569976554.2599499</v>
      </c>
      <c r="BA157" s="40">
        <f t="shared" si="89"/>
        <v>1495105716.6500049</v>
      </c>
      <c r="BB157" s="40">
        <f t="shared" si="89"/>
        <v>1426396542.3764176</v>
      </c>
      <c r="BC157" s="40">
        <f t="shared" si="89"/>
        <v>1369216247.1568975</v>
      </c>
      <c r="BD157" s="40">
        <f t="shared" si="89"/>
        <v>1322679836.1394241</v>
      </c>
      <c r="BE157" s="40">
        <f t="shared" si="89"/>
        <v>1284450909.9287844</v>
      </c>
      <c r="BF157" s="40">
        <f t="shared" si="89"/>
        <v>1255333436.7630115</v>
      </c>
      <c r="BG157" s="40">
        <f t="shared" si="89"/>
        <v>1234685544.5483506</v>
      </c>
      <c r="BH157" s="40">
        <f t="shared" si="89"/>
        <v>1226489643.9509802</v>
      </c>
    </row>
    <row r="158" spans="1:61" s="82" customFormat="1" hidden="1" x14ac:dyDescent="0.2">
      <c r="A158" s="82" t="s">
        <v>809</v>
      </c>
      <c r="C158" s="83">
        <f t="shared" ref="C158:BH158" si="90" xml:space="preserve"> SUM(C25,C41,C50,C93)</f>
        <v>0</v>
      </c>
      <c r="D158" s="83">
        <f t="shared" si="90"/>
        <v>0</v>
      </c>
      <c r="E158" s="83">
        <f t="shared" si="90"/>
        <v>0</v>
      </c>
      <c r="F158" s="83">
        <f t="shared" si="90"/>
        <v>5997415.8585757501</v>
      </c>
      <c r="G158" s="83">
        <f t="shared" si="90"/>
        <v>11994831.7171515</v>
      </c>
      <c r="H158" s="83">
        <f t="shared" si="90"/>
        <v>18717676.434303001</v>
      </c>
      <c r="I158" s="83">
        <f t="shared" si="90"/>
        <v>25440521.151454501</v>
      </c>
      <c r="J158" s="83">
        <f t="shared" si="90"/>
        <v>32163365.868606001</v>
      </c>
      <c r="K158" s="83">
        <f t="shared" si="90"/>
        <v>38886210.585757501</v>
      </c>
      <c r="L158" s="83">
        <f t="shared" si="90"/>
        <v>45609055.302909002</v>
      </c>
      <c r="M158" s="83">
        <f t="shared" si="90"/>
        <v>52331900.020060502</v>
      </c>
      <c r="N158" s="83">
        <f t="shared" si="90"/>
        <v>57551208.878636248</v>
      </c>
      <c r="O158" s="83">
        <f t="shared" si="90"/>
        <v>62770517.737212002</v>
      </c>
      <c r="P158" s="83">
        <f t="shared" si="90"/>
        <v>67989826.595787749</v>
      </c>
      <c r="Q158" s="83">
        <f t="shared" si="90"/>
        <v>73209135.454363495</v>
      </c>
      <c r="R158" s="83">
        <f t="shared" si="90"/>
        <v>78428444.312939256</v>
      </c>
      <c r="S158" s="83">
        <f t="shared" si="90"/>
        <v>83647753.171515003</v>
      </c>
      <c r="T158" s="83">
        <f t="shared" si="90"/>
        <v>88867062.030090749</v>
      </c>
      <c r="U158" s="83">
        <f t="shared" si="90"/>
        <v>89592490.888666496</v>
      </c>
      <c r="V158" s="83">
        <f t="shared" si="90"/>
        <v>89592490.888666496</v>
      </c>
      <c r="W158" s="83">
        <f t="shared" si="90"/>
        <v>89592490.888666496</v>
      </c>
      <c r="X158" s="83">
        <f t="shared" si="90"/>
        <v>89592490.888666496</v>
      </c>
      <c r="Y158" s="83">
        <f t="shared" si="90"/>
        <v>89592490.888666496</v>
      </c>
      <c r="Z158" s="83">
        <f t="shared" si="90"/>
        <v>89592490.888666496</v>
      </c>
      <c r="AA158" s="83">
        <f t="shared" si="90"/>
        <v>90317919.747242257</v>
      </c>
      <c r="AB158" s="83">
        <f t="shared" si="90"/>
        <v>90317919.747242257</v>
      </c>
      <c r="AC158" s="83">
        <f t="shared" si="90"/>
        <v>90317919.747242257</v>
      </c>
      <c r="AD158" s="83">
        <f t="shared" si="90"/>
        <v>90317919.747242257</v>
      </c>
      <c r="AE158" s="83">
        <f t="shared" si="90"/>
        <v>90317919.747242257</v>
      </c>
      <c r="AF158" s="83">
        <f t="shared" si="90"/>
        <v>90317919.747242257</v>
      </c>
      <c r="AG158" s="83">
        <f t="shared" si="90"/>
        <v>90317919.747242257</v>
      </c>
      <c r="AH158" s="83">
        <f t="shared" si="90"/>
        <v>91043348.605818003</v>
      </c>
      <c r="AI158" s="83">
        <f t="shared" si="90"/>
        <v>91043348.605818003</v>
      </c>
      <c r="AJ158" s="83">
        <f t="shared" si="90"/>
        <v>91043348.605818003</v>
      </c>
      <c r="AK158" s="83">
        <f t="shared" si="90"/>
        <v>91043348.605818003</v>
      </c>
      <c r="AL158" s="83">
        <f t="shared" si="90"/>
        <v>91043348.605818003</v>
      </c>
      <c r="AM158" s="83">
        <f t="shared" si="90"/>
        <v>91043348.605818003</v>
      </c>
      <c r="AN158" s="83">
        <f t="shared" si="90"/>
        <v>91768777.46439375</v>
      </c>
      <c r="AO158" s="83">
        <f t="shared" si="90"/>
        <v>91768777.46439375</v>
      </c>
      <c r="AP158" s="83">
        <f t="shared" si="90"/>
        <v>91768777.46439375</v>
      </c>
      <c r="AQ158" s="83">
        <f t="shared" si="90"/>
        <v>91768777.46439375</v>
      </c>
      <c r="AR158" s="83">
        <f t="shared" si="90"/>
        <v>91768777.46439375</v>
      </c>
      <c r="AS158" s="83">
        <f t="shared" si="90"/>
        <v>91768777.46439375</v>
      </c>
      <c r="AT158" s="83">
        <f t="shared" si="90"/>
        <v>91768777.46439375</v>
      </c>
      <c r="AU158" s="83">
        <f t="shared" si="90"/>
        <v>92494206.322969496</v>
      </c>
      <c r="AV158" s="83">
        <f t="shared" si="90"/>
        <v>92494206.322969496</v>
      </c>
      <c r="AW158" s="83">
        <f t="shared" si="90"/>
        <v>92494206.322969496</v>
      </c>
      <c r="AX158" s="83">
        <f t="shared" si="90"/>
        <v>88000326.322969496</v>
      </c>
      <c r="AY158" s="83">
        <f t="shared" si="90"/>
        <v>83506446.322969496</v>
      </c>
      <c r="AZ158" s="83">
        <f t="shared" si="90"/>
        <v>79012566.322969496</v>
      </c>
      <c r="BA158" s="83">
        <f t="shared" si="90"/>
        <v>75244115.181545258</v>
      </c>
      <c r="BB158" s="83">
        <f t="shared" si="90"/>
        <v>70750235.181545258</v>
      </c>
      <c r="BC158" s="83">
        <f t="shared" si="90"/>
        <v>66256355.18154525</v>
      </c>
      <c r="BD158" s="83">
        <f t="shared" si="90"/>
        <v>61762475.18154525</v>
      </c>
      <c r="BE158" s="83">
        <f t="shared" si="90"/>
        <v>57268595.18154525</v>
      </c>
      <c r="BF158" s="83">
        <f t="shared" si="90"/>
        <v>52774715.18154525</v>
      </c>
      <c r="BG158" s="83">
        <f t="shared" si="90"/>
        <v>48280835.18154525</v>
      </c>
      <c r="BH158" s="83">
        <f t="shared" si="90"/>
        <v>44512384.040121004</v>
      </c>
    </row>
  </sheetData>
  <sheetProtection selectLockedCells="1" selectUnlockedCells="1"/>
  <dataConsolidate/>
  <printOptions gridLines="1"/>
  <pageMargins left="0.78749999999999998" right="0.78749999999999998" top="1.0527777777777778" bottom="1.0527777777777778" header="0.78749999999999998" footer="0.78749999999999998"/>
  <pageSetup firstPageNumber="0" fitToWidth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G49"/>
  <sheetViews>
    <sheetView topLeftCell="A20" zoomScale="110" zoomScaleNormal="110" workbookViewId="0">
      <selection activeCell="F3" sqref="F3"/>
    </sheetView>
  </sheetViews>
  <sheetFormatPr defaultRowHeight="12.75" x14ac:dyDescent="0.2"/>
  <cols>
    <col min="1" max="1" width="48.5703125" customWidth="1"/>
    <col min="2" max="2" width="10.42578125" customWidth="1"/>
    <col min="3" max="3" width="10" customWidth="1"/>
    <col min="4" max="4" width="11.140625" customWidth="1"/>
    <col min="5" max="5" width="18.5703125" customWidth="1"/>
    <col min="6" max="6" width="14.85546875" customWidth="1"/>
    <col min="7" max="7" width="115" customWidth="1"/>
  </cols>
  <sheetData>
    <row r="1" spans="1:7" x14ac:dyDescent="0.2">
      <c r="A1" s="1" t="s">
        <v>420</v>
      </c>
      <c r="B1" s="1" t="s">
        <v>245</v>
      </c>
      <c r="C1" s="1" t="s">
        <v>421</v>
      </c>
      <c r="D1" s="1" t="s">
        <v>422</v>
      </c>
      <c r="E1" s="1" t="s">
        <v>423</v>
      </c>
      <c r="F1" s="1" t="s">
        <v>424</v>
      </c>
      <c r="G1" s="1" t="s">
        <v>425</v>
      </c>
    </row>
    <row r="2" spans="1:7" x14ac:dyDescent="0.2">
      <c r="B2" t="s">
        <v>426</v>
      </c>
      <c r="C2" t="s">
        <v>427</v>
      </c>
      <c r="E2" t="s">
        <v>428</v>
      </c>
      <c r="F2" t="s">
        <v>428</v>
      </c>
    </row>
    <row r="3" spans="1:7" x14ac:dyDescent="0.2">
      <c r="A3" s="1" t="s">
        <v>429</v>
      </c>
      <c r="B3" s="1"/>
      <c r="C3" s="1"/>
      <c r="D3" s="1"/>
      <c r="E3" s="1"/>
      <c r="F3" s="1"/>
      <c r="G3" s="1"/>
    </row>
    <row r="4" spans="1:7" x14ac:dyDescent="0.2">
      <c r="A4" t="s">
        <v>430</v>
      </c>
      <c r="B4" s="5">
        <f>B5+B5*0.05</f>
        <v>18383.068200000002</v>
      </c>
      <c r="C4" s="5">
        <v>771</v>
      </c>
      <c r="D4" s="11">
        <v>0</v>
      </c>
      <c r="E4" s="59">
        <v>3</v>
      </c>
      <c r="F4" s="59">
        <f>E4</f>
        <v>3</v>
      </c>
      <c r="G4" t="s">
        <v>431</v>
      </c>
    </row>
    <row r="5" spans="1:7" x14ac:dyDescent="0.2">
      <c r="A5" t="s">
        <v>432</v>
      </c>
      <c r="B5" s="5">
        <f>B10+B11</f>
        <v>17507.684000000001</v>
      </c>
      <c r="C5" s="61">
        <v>1000</v>
      </c>
      <c r="D5" s="11">
        <v>0</v>
      </c>
      <c r="E5" s="59">
        <v>207</v>
      </c>
      <c r="F5" s="59">
        <f>F4+E5</f>
        <v>210</v>
      </c>
      <c r="G5" t="s">
        <v>433</v>
      </c>
    </row>
    <row r="6" spans="1:7" x14ac:dyDescent="0.2">
      <c r="A6" t="s">
        <v>434</v>
      </c>
      <c r="B6" s="5">
        <v>6969.9</v>
      </c>
      <c r="C6" s="5">
        <v>1090</v>
      </c>
      <c r="D6" s="11">
        <v>0</v>
      </c>
      <c r="E6" s="59">
        <v>0</v>
      </c>
      <c r="F6" s="59">
        <f>E6</f>
        <v>0</v>
      </c>
      <c r="G6" t="s">
        <v>435</v>
      </c>
    </row>
    <row r="7" spans="1:7" x14ac:dyDescent="0.2">
      <c r="A7" t="s">
        <v>436</v>
      </c>
      <c r="B7" s="5">
        <f>B5+B6</f>
        <v>24477.584000000003</v>
      </c>
      <c r="C7" s="5">
        <f>(B6*C6+B10*C5)/(B6+B10)</f>
        <v>1033.4889196158301</v>
      </c>
      <c r="D7" s="11">
        <f>B5/B6</f>
        <v>2.5118988794674246</v>
      </c>
      <c r="E7" s="59">
        <v>0</v>
      </c>
      <c r="F7" s="59">
        <f>(F5*B5+F6*B6)/(B5+B6)+E7</f>
        <v>150.2032896710721</v>
      </c>
      <c r="G7" t="s">
        <v>437</v>
      </c>
    </row>
    <row r="8" spans="1:7" x14ac:dyDescent="0.2">
      <c r="A8" t="s">
        <v>438</v>
      </c>
      <c r="B8" s="5">
        <f>B7-B10</f>
        <v>12716.184000000003</v>
      </c>
      <c r="C8" s="5">
        <f>(B6*C6+B10*C5)/(B6+B10)</f>
        <v>1033.4889196158301</v>
      </c>
      <c r="D8" s="11">
        <v>0</v>
      </c>
      <c r="E8" s="59">
        <v>0</v>
      </c>
      <c r="F8" s="59">
        <f>(F5*B5+F6*B6)/(B5+B6)+E7</f>
        <v>150.2032896710721</v>
      </c>
      <c r="G8" t="s">
        <v>435</v>
      </c>
    </row>
    <row r="9" spans="1:7" x14ac:dyDescent="0.2">
      <c r="A9" t="s">
        <v>439</v>
      </c>
      <c r="B9" s="5">
        <f>B7-B10-B6</f>
        <v>5746.2840000000033</v>
      </c>
      <c r="C9" s="5">
        <f>(B6*C6+B10*C5)/(B6+B10)</f>
        <v>1033.4889196158301</v>
      </c>
      <c r="D9" s="11">
        <v>0</v>
      </c>
      <c r="E9" s="59">
        <v>0</v>
      </c>
      <c r="F9" s="59">
        <f>F5+E7</f>
        <v>210</v>
      </c>
      <c r="G9" t="s">
        <v>440</v>
      </c>
    </row>
    <row r="10" spans="1:7" x14ac:dyDescent="0.2">
      <c r="A10" t="s">
        <v>441</v>
      </c>
      <c r="B10" s="5">
        <f>0.7*B14</f>
        <v>11761.4</v>
      </c>
      <c r="C10" s="5">
        <f>C7</f>
        <v>1033.4889196158301</v>
      </c>
      <c r="D10" s="11">
        <v>0</v>
      </c>
      <c r="E10" s="59">
        <v>0</v>
      </c>
      <c r="F10" s="59">
        <f>F5+E10</f>
        <v>210</v>
      </c>
      <c r="G10" t="s">
        <v>442</v>
      </c>
    </row>
    <row r="11" spans="1:7" x14ac:dyDescent="0.2">
      <c r="A11" t="s">
        <v>443</v>
      </c>
      <c r="B11" s="5">
        <f>B13+0.14*B13</f>
        <v>5746.2839999999997</v>
      </c>
      <c r="C11" s="5">
        <v>50000</v>
      </c>
      <c r="D11" s="11">
        <v>0</v>
      </c>
      <c r="E11" s="59">
        <v>5</v>
      </c>
      <c r="F11" s="59">
        <f>F4*(B4-B10)/B11+E11</f>
        <v>8.4570175438596511</v>
      </c>
      <c r="G11" t="s">
        <v>444</v>
      </c>
    </row>
    <row r="12" spans="1:7" x14ac:dyDescent="0.2">
      <c r="A12" t="s">
        <v>445</v>
      </c>
      <c r="B12" s="5">
        <f>0.14*B11</f>
        <v>804.47976000000006</v>
      </c>
      <c r="C12" s="5">
        <v>300000</v>
      </c>
      <c r="D12" s="11">
        <v>0</v>
      </c>
      <c r="E12" s="59">
        <v>0</v>
      </c>
      <c r="F12" s="59">
        <v>0</v>
      </c>
      <c r="G12" t="s">
        <v>446</v>
      </c>
    </row>
    <row r="13" spans="1:7" x14ac:dyDescent="0.2">
      <c r="A13" t="s">
        <v>447</v>
      </c>
      <c r="B13" s="5">
        <f>0.3*B14</f>
        <v>5040.5999999999995</v>
      </c>
      <c r="C13" s="5">
        <v>20</v>
      </c>
      <c r="D13" s="11">
        <v>0</v>
      </c>
      <c r="E13" s="59">
        <f>'5MGD 15 Effect Levellized VTE'!B30</f>
        <v>1551.5623261334633</v>
      </c>
      <c r="F13" s="59">
        <f>(B11*F11)/(B13)+E13</f>
        <v>1561.2033261334634</v>
      </c>
      <c r="G13" t="s">
        <v>448</v>
      </c>
    </row>
    <row r="14" spans="1:7" x14ac:dyDescent="0.2">
      <c r="A14" t="s">
        <v>449</v>
      </c>
      <c r="B14" s="5">
        <v>16802</v>
      </c>
      <c r="C14" s="5">
        <f>((D14*C10)+C13)/(D14+1)</f>
        <v>729.44224373108102</v>
      </c>
      <c r="D14" s="15">
        <f>B10/B13</f>
        <v>2.3333333333333335</v>
      </c>
      <c r="E14" s="59">
        <v>5</v>
      </c>
      <c r="F14" s="62">
        <f>(B10*F10+B13*F13)/(B10+B13)+B9*F9/B14+E14</f>
        <v>692.18099784003891</v>
      </c>
      <c r="G14" t="s">
        <v>450</v>
      </c>
    </row>
    <row r="15" spans="1:7" x14ac:dyDescent="0.2">
      <c r="A15" t="s">
        <v>451</v>
      </c>
      <c r="B15" s="5">
        <f>(B8*1233481.8375475)*(C8/1000/1000/907.185)</f>
        <v>17868.970283129976</v>
      </c>
      <c r="C15" s="5"/>
      <c r="D15" s="15"/>
      <c r="E15" s="59"/>
      <c r="F15" s="62"/>
    </row>
    <row r="16" spans="1:7" x14ac:dyDescent="0.2">
      <c r="A16" t="s">
        <v>452</v>
      </c>
      <c r="B16" s="5">
        <f>(B11*1233481.8375475)*(C11/1000/1000/907.185)</f>
        <v>390655.54144908692</v>
      </c>
      <c r="C16" s="5"/>
      <c r="D16" s="15"/>
      <c r="E16" s="59"/>
      <c r="F16" s="62"/>
    </row>
    <row r="17" spans="1:7" x14ac:dyDescent="0.2">
      <c r="A17" t="s">
        <v>453</v>
      </c>
      <c r="B17" s="5">
        <f>B15-B16</f>
        <v>-372786.57116595696</v>
      </c>
    </row>
    <row r="18" spans="1:7" x14ac:dyDescent="0.2">
      <c r="B18" s="5"/>
    </row>
    <row r="19" spans="1:7" x14ac:dyDescent="0.2">
      <c r="A19" s="1" t="s">
        <v>454</v>
      </c>
      <c r="B19" s="1"/>
      <c r="C19" s="1"/>
      <c r="D19" s="1"/>
      <c r="E19" s="1"/>
      <c r="F19" s="1"/>
      <c r="G19" s="1"/>
    </row>
    <row r="20" spans="1:7" x14ac:dyDescent="0.2">
      <c r="A20" t="s">
        <v>430</v>
      </c>
      <c r="B20" s="5">
        <f>B21+B21*0.05</f>
        <v>18753.552300000003</v>
      </c>
      <c r="C20" s="5">
        <v>771</v>
      </c>
      <c r="D20" s="11">
        <v>0</v>
      </c>
      <c r="E20" s="59">
        <v>3</v>
      </c>
      <c r="F20" s="59">
        <f>E20</f>
        <v>3</v>
      </c>
      <c r="G20" t="s">
        <v>431</v>
      </c>
    </row>
    <row r="21" spans="1:7" x14ac:dyDescent="0.2">
      <c r="A21" t="s">
        <v>432</v>
      </c>
      <c r="B21" s="5">
        <f>B26+B27</f>
        <v>17860.526000000002</v>
      </c>
      <c r="C21" s="61">
        <v>1500</v>
      </c>
      <c r="D21" s="11">
        <v>0</v>
      </c>
      <c r="E21" s="59">
        <v>207</v>
      </c>
      <c r="F21" s="59">
        <f>F20+E21</f>
        <v>210</v>
      </c>
      <c r="G21" t="s">
        <v>433</v>
      </c>
    </row>
    <row r="22" spans="1:7" x14ac:dyDescent="0.2">
      <c r="A22" t="s">
        <v>434</v>
      </c>
      <c r="B22" s="5">
        <v>6969.9</v>
      </c>
      <c r="C22" s="5">
        <v>1090</v>
      </c>
      <c r="D22" s="11">
        <v>0</v>
      </c>
      <c r="E22" s="59">
        <v>0</v>
      </c>
      <c r="F22" s="59">
        <f>E22</f>
        <v>0</v>
      </c>
      <c r="G22" t="s">
        <v>435</v>
      </c>
    </row>
    <row r="23" spans="1:7" x14ac:dyDescent="0.2">
      <c r="A23" t="s">
        <v>436</v>
      </c>
      <c r="B23" s="5">
        <f>B21+B22</f>
        <v>24830.425999999999</v>
      </c>
      <c r="C23" s="5">
        <f>(B22*C22+B26*C21)/(B22+B26)</f>
        <v>1323.7209919190673</v>
      </c>
      <c r="D23" s="11">
        <f>B21/B22</f>
        <v>2.5625225612993017</v>
      </c>
      <c r="E23" s="59">
        <v>0</v>
      </c>
      <c r="F23" s="59">
        <f>(F21*B21+F22*B22)/(B21+B22)+E23</f>
        <v>151.05300489004904</v>
      </c>
      <c r="G23" t="s">
        <v>437</v>
      </c>
    </row>
    <row r="24" spans="1:7" x14ac:dyDescent="0.2">
      <c r="A24" t="s">
        <v>438</v>
      </c>
      <c r="B24" s="5">
        <f>B23-B26</f>
        <v>15589.325999999999</v>
      </c>
      <c r="C24" s="5">
        <f>(B22*C22+B26*C21)/(B22+B26)</f>
        <v>1323.7209919190673</v>
      </c>
      <c r="D24" s="11">
        <v>0</v>
      </c>
      <c r="E24" s="59">
        <v>0</v>
      </c>
      <c r="F24" s="59">
        <f>(F21*B21+F22*B22)/(B21+B22)+E23</f>
        <v>151.05300489004904</v>
      </c>
      <c r="G24" t="s">
        <v>435</v>
      </c>
    </row>
    <row r="25" spans="1:7" x14ac:dyDescent="0.2">
      <c r="A25" t="s">
        <v>439</v>
      </c>
      <c r="B25" s="5">
        <f>B23-B26-B22</f>
        <v>8619.4259999999995</v>
      </c>
      <c r="C25" s="5">
        <f>(B22*C22+B26*C21)/(B22+B26)</f>
        <v>1323.7209919190673</v>
      </c>
      <c r="D25" s="11">
        <v>0</v>
      </c>
      <c r="E25" s="59">
        <v>0</v>
      </c>
      <c r="F25" s="59">
        <f>F21+E23</f>
        <v>210</v>
      </c>
      <c r="G25" t="s">
        <v>440</v>
      </c>
    </row>
    <row r="26" spans="1:7" x14ac:dyDescent="0.2">
      <c r="A26" t="s">
        <v>441</v>
      </c>
      <c r="B26" s="5">
        <f>0.55*B30</f>
        <v>9241.1</v>
      </c>
      <c r="C26" s="5">
        <f>C23</f>
        <v>1323.7209919190673</v>
      </c>
      <c r="D26" s="11">
        <v>0</v>
      </c>
      <c r="E26" s="59">
        <v>0</v>
      </c>
      <c r="F26" s="59">
        <f>F21+E26</f>
        <v>210</v>
      </c>
      <c r="G26" t="s">
        <v>442</v>
      </c>
    </row>
    <row r="27" spans="1:7" x14ac:dyDescent="0.2">
      <c r="A27" t="s">
        <v>443</v>
      </c>
      <c r="B27" s="5">
        <f>B29+0.14*B29</f>
        <v>8619.4260000000013</v>
      </c>
      <c r="C27" s="5">
        <v>50000</v>
      </c>
      <c r="D27" s="11">
        <v>0</v>
      </c>
      <c r="E27" s="59">
        <v>5</v>
      </c>
      <c r="F27" s="59">
        <f>F20*(B20-B26)/B27+E27</f>
        <v>8.310818713450292</v>
      </c>
      <c r="G27" t="s">
        <v>444</v>
      </c>
    </row>
    <row r="28" spans="1:7" x14ac:dyDescent="0.2">
      <c r="A28" t="s">
        <v>445</v>
      </c>
      <c r="B28" s="5">
        <f>0.14*B27</f>
        <v>1206.7196400000003</v>
      </c>
      <c r="C28" s="5">
        <v>300000</v>
      </c>
      <c r="D28" s="11">
        <v>0</v>
      </c>
      <c r="E28" s="59">
        <v>0</v>
      </c>
      <c r="F28" s="59">
        <v>0</v>
      </c>
      <c r="G28" t="s">
        <v>446</v>
      </c>
    </row>
    <row r="29" spans="1:7" x14ac:dyDescent="0.2">
      <c r="A29" t="s">
        <v>447</v>
      </c>
      <c r="B29" s="5">
        <f>0.45*B30</f>
        <v>7560.9000000000005</v>
      </c>
      <c r="C29" s="5">
        <v>20</v>
      </c>
      <c r="D29" s="11">
        <v>0</v>
      </c>
      <c r="E29" s="59">
        <f>'5MGD 15 Effect Levellized VTE'!B30</f>
        <v>1551.5623261334633</v>
      </c>
      <c r="F29" s="59">
        <f>(B27*F27)/(B29)+E29</f>
        <v>1561.0366594667967</v>
      </c>
      <c r="G29" t="s">
        <v>448</v>
      </c>
    </row>
    <row r="30" spans="1:7" x14ac:dyDescent="0.2">
      <c r="A30" t="s">
        <v>455</v>
      </c>
      <c r="B30" s="5">
        <v>16802</v>
      </c>
      <c r="C30" s="5">
        <f>((D30*C26)+C29)/(D30+1)</f>
        <v>737.04654555548689</v>
      </c>
      <c r="D30" s="15">
        <f>B26/B29</f>
        <v>1.2222222222222221</v>
      </c>
      <c r="E30" s="59">
        <v>5</v>
      </c>
      <c r="F30" s="62">
        <f>(B26*F26+B29*F29)/(B26+B29)+B25*F25/B30+E30</f>
        <v>930.69649676005861</v>
      </c>
      <c r="G30" t="s">
        <v>450</v>
      </c>
    </row>
    <row r="31" spans="1:7" x14ac:dyDescent="0.2">
      <c r="A31" t="s">
        <v>451</v>
      </c>
      <c r="B31" s="5">
        <f>(B24*1233481.8375475)*(C24/1000/1000/907.185)</f>
        <v>28058.257299172859</v>
      </c>
      <c r="C31" s="5"/>
      <c r="D31" s="15"/>
      <c r="E31" s="59"/>
      <c r="F31" s="62"/>
    </row>
    <row r="32" spans="1:7" x14ac:dyDescent="0.2">
      <c r="A32" t="s">
        <v>452</v>
      </c>
      <c r="B32" s="5">
        <f>(B27*1233481.8375475)*(C27/1000/1000/907.185)</f>
        <v>585983.31217363046</v>
      </c>
      <c r="C32" s="5"/>
      <c r="D32" s="15"/>
      <c r="E32" s="59"/>
      <c r="F32" s="62"/>
    </row>
    <row r="33" spans="1:7" x14ac:dyDescent="0.2">
      <c r="A33" t="s">
        <v>453</v>
      </c>
      <c r="B33" s="5">
        <f>B31-B32</f>
        <v>-557925.05487445765</v>
      </c>
    </row>
    <row r="34" spans="1:7" x14ac:dyDescent="0.2">
      <c r="B34" s="5"/>
    </row>
    <row r="35" spans="1:7" x14ac:dyDescent="0.2">
      <c r="A35" s="1" t="s">
        <v>456</v>
      </c>
      <c r="B35" s="1"/>
      <c r="C35" s="1"/>
      <c r="D35" s="1"/>
      <c r="E35" s="1"/>
      <c r="F35" s="1"/>
      <c r="G35" s="1"/>
    </row>
    <row r="36" spans="1:7" x14ac:dyDescent="0.2">
      <c r="A36" t="s">
        <v>430</v>
      </c>
      <c r="B36" s="5">
        <f>B37+B37*0.05</f>
        <v>18951.143820000001</v>
      </c>
      <c r="C36" s="5">
        <v>771</v>
      </c>
      <c r="D36" s="11">
        <v>0</v>
      </c>
      <c r="E36" s="59">
        <v>3</v>
      </c>
      <c r="F36" s="59">
        <f>E36</f>
        <v>3</v>
      </c>
      <c r="G36" t="s">
        <v>431</v>
      </c>
    </row>
    <row r="37" spans="1:7" x14ac:dyDescent="0.2">
      <c r="A37" t="s">
        <v>432</v>
      </c>
      <c r="B37" s="5">
        <f>B42+B43</f>
        <v>18048.7084</v>
      </c>
      <c r="C37" s="61">
        <v>2000</v>
      </c>
      <c r="D37" s="11">
        <v>0</v>
      </c>
      <c r="E37" s="59">
        <v>207</v>
      </c>
      <c r="F37" s="59">
        <f>F36+E37</f>
        <v>210</v>
      </c>
      <c r="G37" t="s">
        <v>433</v>
      </c>
    </row>
    <row r="38" spans="1:7" x14ac:dyDescent="0.2">
      <c r="A38" t="s">
        <v>434</v>
      </c>
      <c r="B38" s="5">
        <v>6969.9</v>
      </c>
      <c r="C38" s="5">
        <v>1090</v>
      </c>
      <c r="D38" s="11">
        <v>0</v>
      </c>
      <c r="E38" s="59">
        <v>0</v>
      </c>
      <c r="F38" s="59">
        <f>E38</f>
        <v>0</v>
      </c>
      <c r="G38" t="s">
        <v>435</v>
      </c>
    </row>
    <row r="39" spans="1:7" x14ac:dyDescent="0.2">
      <c r="A39" t="s">
        <v>436</v>
      </c>
      <c r="B39" s="5">
        <f>B37+B38</f>
        <v>25018.608399999997</v>
      </c>
      <c r="C39" s="5">
        <f>(B38*C38+B42*C37)/(B38+B42)</f>
        <v>1573.3720817604817</v>
      </c>
      <c r="D39" s="11">
        <f>B37/B38</f>
        <v>2.5895218582763024</v>
      </c>
      <c r="E39" s="59">
        <v>0</v>
      </c>
      <c r="F39" s="59">
        <f>(F37*B37+F38*B38)/(B37+B38)+E39</f>
        <v>151.49638634577295</v>
      </c>
      <c r="G39" t="s">
        <v>437</v>
      </c>
    </row>
    <row r="40" spans="1:7" x14ac:dyDescent="0.2">
      <c r="A40" t="s">
        <v>438</v>
      </c>
      <c r="B40" s="5">
        <f>B39-B42</f>
        <v>17121.668399999999</v>
      </c>
      <c r="C40" s="5">
        <f>(B38*C38+B42*C37)/(B38+B42)</f>
        <v>1573.3720817604817</v>
      </c>
      <c r="D40" s="11">
        <v>0</v>
      </c>
      <c r="E40" s="59">
        <v>0</v>
      </c>
      <c r="F40" s="59">
        <f>(F37*B37+F38*B38)/(B37+B38)+E39</f>
        <v>151.49638634577295</v>
      </c>
      <c r="G40" t="s">
        <v>435</v>
      </c>
    </row>
    <row r="41" spans="1:7" x14ac:dyDescent="0.2">
      <c r="A41" t="s">
        <v>439</v>
      </c>
      <c r="B41" s="5">
        <f>B39-B42-B38</f>
        <v>10151.768399999999</v>
      </c>
      <c r="C41" s="5">
        <f>(B38*C38+B42*C37)/(B38+B42)</f>
        <v>1573.3720817604817</v>
      </c>
      <c r="D41" s="11">
        <v>0</v>
      </c>
      <c r="E41" s="59">
        <v>0</v>
      </c>
      <c r="F41" s="59">
        <f>F37+E39</f>
        <v>210</v>
      </c>
      <c r="G41" t="s">
        <v>440</v>
      </c>
    </row>
    <row r="42" spans="1:7" x14ac:dyDescent="0.2">
      <c r="A42" t="s">
        <v>441</v>
      </c>
      <c r="B42" s="5">
        <f>0.47*B46</f>
        <v>7896.94</v>
      </c>
      <c r="C42" s="5">
        <f>C39</f>
        <v>1573.3720817604817</v>
      </c>
      <c r="D42" s="11">
        <v>0</v>
      </c>
      <c r="E42" s="59">
        <v>0</v>
      </c>
      <c r="F42" s="59">
        <f>F37+E42</f>
        <v>210</v>
      </c>
      <c r="G42" t="s">
        <v>442</v>
      </c>
    </row>
    <row r="43" spans="1:7" x14ac:dyDescent="0.2">
      <c r="A43" t="s">
        <v>443</v>
      </c>
      <c r="B43" s="5">
        <f>B45+0.14*B45</f>
        <v>10151.768400000001</v>
      </c>
      <c r="C43" s="5">
        <v>50000</v>
      </c>
      <c r="D43" s="11">
        <v>0</v>
      </c>
      <c r="E43" s="59">
        <v>5</v>
      </c>
      <c r="F43" s="59">
        <f>F36*(B36-B42)/B43+E43</f>
        <v>8.2666832174776559</v>
      </c>
      <c r="G43" t="s">
        <v>444</v>
      </c>
    </row>
    <row r="44" spans="1:7" x14ac:dyDescent="0.2">
      <c r="A44" t="s">
        <v>445</v>
      </c>
      <c r="B44" s="5">
        <f>0.14*B43</f>
        <v>1421.2475760000002</v>
      </c>
      <c r="C44" s="5">
        <v>300000</v>
      </c>
      <c r="D44" s="11">
        <v>0</v>
      </c>
      <c r="E44" s="59">
        <v>0</v>
      </c>
      <c r="F44" s="59">
        <v>0</v>
      </c>
      <c r="G44" t="s">
        <v>446</v>
      </c>
    </row>
    <row r="45" spans="1:7" x14ac:dyDescent="0.2">
      <c r="A45" t="s">
        <v>447</v>
      </c>
      <c r="B45" s="5">
        <f>0.53*B46</f>
        <v>8905.0600000000013</v>
      </c>
      <c r="C45" s="5">
        <v>20</v>
      </c>
      <c r="D45" s="11">
        <v>0</v>
      </c>
      <c r="E45" s="59">
        <f>'5MGD 15 Effect Levellized VTE'!B30</f>
        <v>1551.5623261334633</v>
      </c>
      <c r="F45" s="59">
        <f>(B43*F43)/(B45)+E45</f>
        <v>1560.9863450013879</v>
      </c>
      <c r="G45" t="s">
        <v>448</v>
      </c>
    </row>
    <row r="46" spans="1:7" x14ac:dyDescent="0.2">
      <c r="A46" t="s">
        <v>455</v>
      </c>
      <c r="B46" s="5">
        <v>16802</v>
      </c>
      <c r="C46" s="5">
        <f>((D46*C42)+C45)/(D46+1)</f>
        <v>750.08487842742636</v>
      </c>
      <c r="D46" s="15">
        <f>B42/B45</f>
        <v>0.88679245283018848</v>
      </c>
      <c r="E46" s="59">
        <v>5</v>
      </c>
      <c r="F46" s="62">
        <f>(B42*F42+B45*F45)/(B42+B45)+B41*F41/B46+E46</f>
        <v>1057.9047628507358</v>
      </c>
      <c r="G46" t="s">
        <v>450</v>
      </c>
    </row>
    <row r="47" spans="1:7" x14ac:dyDescent="0.2">
      <c r="A47" t="s">
        <v>451</v>
      </c>
      <c r="B47" s="5">
        <f>(B40*1233481.8375475)*(C40/1000/1000/907.185)</f>
        <v>36628.102410098661</v>
      </c>
      <c r="C47" s="5"/>
      <c r="D47" s="15"/>
      <c r="E47" s="59"/>
      <c r="F47" s="62"/>
    </row>
    <row r="48" spans="1:7" x14ac:dyDescent="0.2">
      <c r="A48" t="s">
        <v>452</v>
      </c>
      <c r="B48" s="5">
        <f>(B43*1233481.8375475)*(C43/1000/1000/907.185)</f>
        <v>690158.12322672026</v>
      </c>
      <c r="C48" s="5"/>
      <c r="D48" s="15"/>
      <c r="E48" s="59"/>
      <c r="F48" s="62"/>
    </row>
    <row r="49" spans="1:2" x14ac:dyDescent="0.2">
      <c r="A49" t="s">
        <v>453</v>
      </c>
      <c r="B49" s="5">
        <f>B47-B48</f>
        <v>-653530.0208166216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J151"/>
  <sheetViews>
    <sheetView zoomScale="110" zoomScaleNormal="110" workbookViewId="0">
      <selection activeCell="H7" sqref="H7"/>
    </sheetView>
  </sheetViews>
  <sheetFormatPr defaultRowHeight="12.75" x14ac:dyDescent="0.2"/>
  <cols>
    <col min="1" max="1" width="3" customWidth="1"/>
    <col min="2" max="4" width="0" hidden="1" customWidth="1"/>
    <col min="5" max="5" width="46.5703125" customWidth="1"/>
    <col min="6" max="6" width="15" customWidth="1"/>
    <col min="8" max="8" width="49.5703125" customWidth="1"/>
    <col min="9" max="9" width="16" customWidth="1"/>
  </cols>
  <sheetData>
    <row r="1" spans="2:6" x14ac:dyDescent="0.2">
      <c r="B1" t="s">
        <v>457</v>
      </c>
      <c r="C1" s="63"/>
      <c r="E1" t="s">
        <v>457</v>
      </c>
      <c r="F1" t="s">
        <v>458</v>
      </c>
    </row>
    <row r="3" spans="2:6" x14ac:dyDescent="0.2">
      <c r="B3" s="64" t="s">
        <v>459</v>
      </c>
      <c r="C3" s="65"/>
      <c r="E3" s="64" t="s">
        <v>459</v>
      </c>
      <c r="F3" s="65"/>
    </row>
    <row r="4" spans="2:6" x14ac:dyDescent="0.2">
      <c r="B4" s="66" t="s">
        <v>460</v>
      </c>
      <c r="C4" s="67"/>
      <c r="E4" s="66" t="s">
        <v>461</v>
      </c>
      <c r="F4" s="67"/>
    </row>
    <row r="5" spans="2:6" x14ac:dyDescent="0.2">
      <c r="B5" s="68" t="s">
        <v>462</v>
      </c>
      <c r="C5" s="69">
        <v>0</v>
      </c>
      <c r="E5" s="68" t="s">
        <v>463</v>
      </c>
      <c r="F5" s="69">
        <f>C6+0.064*C6</f>
        <v>33682406.408</v>
      </c>
    </row>
    <row r="6" spans="2:6" x14ac:dyDescent="0.2">
      <c r="B6" s="68" t="s">
        <v>464</v>
      </c>
      <c r="C6" s="69">
        <v>31656397</v>
      </c>
      <c r="E6" s="68" t="s">
        <v>465</v>
      </c>
      <c r="F6" s="69">
        <f>C11+0.064*C11</f>
        <v>426811.89600000001</v>
      </c>
    </row>
    <row r="7" spans="2:6" x14ac:dyDescent="0.2">
      <c r="B7" s="68" t="s">
        <v>466</v>
      </c>
      <c r="C7" s="69">
        <v>0</v>
      </c>
      <c r="E7" s="66" t="s">
        <v>467</v>
      </c>
      <c r="F7" s="69">
        <f>SUM(F5:F6)</f>
        <v>34109218.303999998</v>
      </c>
    </row>
    <row r="8" spans="2:6" x14ac:dyDescent="0.2">
      <c r="B8" s="68" t="s">
        <v>468</v>
      </c>
      <c r="C8" s="69">
        <v>0</v>
      </c>
      <c r="E8" s="68"/>
      <c r="F8" s="67"/>
    </row>
    <row r="9" spans="2:6" x14ac:dyDescent="0.2">
      <c r="B9" s="68" t="s">
        <v>469</v>
      </c>
      <c r="C9" s="69">
        <v>0</v>
      </c>
      <c r="E9" s="66" t="s">
        <v>470</v>
      </c>
      <c r="F9" s="67"/>
    </row>
    <row r="10" spans="2:6" x14ac:dyDescent="0.2">
      <c r="B10" s="68" t="s">
        <v>471</v>
      </c>
      <c r="C10" s="69">
        <v>0</v>
      </c>
      <c r="E10" s="68" t="s">
        <v>472</v>
      </c>
      <c r="F10" s="70">
        <f>0.05*F7</f>
        <v>1705460.9151999999</v>
      </c>
    </row>
    <row r="11" spans="2:6" x14ac:dyDescent="0.2">
      <c r="B11" s="68" t="s">
        <v>465</v>
      </c>
      <c r="C11" s="69">
        <f>(C23+C24)/6</f>
        <v>401139</v>
      </c>
      <c r="E11" s="68" t="s">
        <v>473</v>
      </c>
      <c r="F11" s="70">
        <f>0.1*F7</f>
        <v>3410921.8303999999</v>
      </c>
    </row>
    <row r="12" spans="2:6" x14ac:dyDescent="0.2">
      <c r="B12" s="66" t="s">
        <v>474</v>
      </c>
      <c r="C12" s="69">
        <f>SUM(C5:C11)</f>
        <v>32057536</v>
      </c>
      <c r="E12" s="68" t="s">
        <v>475</v>
      </c>
      <c r="F12" s="70">
        <f>0.15*SUM(F5:F6)</f>
        <v>5116382.7455999991</v>
      </c>
    </row>
    <row r="13" spans="2:6" x14ac:dyDescent="0.2">
      <c r="B13" s="68"/>
      <c r="C13" s="67"/>
      <c r="E13" s="68" t="s">
        <v>476</v>
      </c>
      <c r="F13" s="70">
        <f>0.5*0.06*F7</f>
        <v>1023276.5491199999</v>
      </c>
    </row>
    <row r="14" spans="2:6" x14ac:dyDescent="0.2">
      <c r="B14" s="66" t="s">
        <v>470</v>
      </c>
      <c r="C14" s="67"/>
      <c r="E14" s="66" t="s">
        <v>470</v>
      </c>
      <c r="F14" s="70">
        <f>SUM(F10:F13)</f>
        <v>11256042.04032</v>
      </c>
    </row>
    <row r="15" spans="2:6" x14ac:dyDescent="0.2">
      <c r="B15" s="68" t="s">
        <v>472</v>
      </c>
      <c r="C15" s="70">
        <f>0.05*(C12-C11)</f>
        <v>1582819.85</v>
      </c>
      <c r="E15" s="68"/>
      <c r="F15" s="67"/>
    </row>
    <row r="16" spans="2:6" x14ac:dyDescent="0.2">
      <c r="B16" s="68" t="s">
        <v>473</v>
      </c>
      <c r="C16" s="70">
        <f>0.1*C12</f>
        <v>3205753.6</v>
      </c>
      <c r="E16" s="66" t="s">
        <v>477</v>
      </c>
      <c r="F16" s="69">
        <f>SUM(F7,F14)</f>
        <v>45365260.344319999</v>
      </c>
    </row>
    <row r="17" spans="2:6" x14ac:dyDescent="0.2">
      <c r="B17" s="68" t="s">
        <v>475</v>
      </c>
      <c r="C17" s="70">
        <f>0.15*SUM(C5:C11)</f>
        <v>4808630.3999999994</v>
      </c>
      <c r="E17" s="66"/>
      <c r="F17" s="69"/>
    </row>
    <row r="18" spans="2:6" x14ac:dyDescent="0.2">
      <c r="B18" s="68" t="s">
        <v>476</v>
      </c>
      <c r="C18" s="70">
        <f>0.5*0.06*C12</f>
        <v>961726.08</v>
      </c>
      <c r="E18" s="66" t="s">
        <v>478</v>
      </c>
      <c r="F18" s="69">
        <f>C23+0.064*C23</f>
        <v>2548103.3760000002</v>
      </c>
    </row>
    <row r="19" spans="2:6" x14ac:dyDescent="0.2">
      <c r="B19" s="66" t="s">
        <v>470</v>
      </c>
      <c r="C19" s="70">
        <f>SUM(C15:C18)</f>
        <v>10558929.93</v>
      </c>
      <c r="E19" s="66" t="s">
        <v>479</v>
      </c>
      <c r="F19" s="69">
        <f>C24+0.064*C24</f>
        <v>12768</v>
      </c>
    </row>
    <row r="20" spans="2:6" x14ac:dyDescent="0.2">
      <c r="B20" s="68"/>
      <c r="C20" s="67"/>
      <c r="E20" s="68"/>
      <c r="F20" s="67"/>
    </row>
    <row r="21" spans="2:6" x14ac:dyDescent="0.2">
      <c r="B21" s="66" t="s">
        <v>477</v>
      </c>
      <c r="C21" s="69">
        <f>SUM(C12,C19)</f>
        <v>42616465.93</v>
      </c>
      <c r="E21" s="66" t="s">
        <v>480</v>
      </c>
      <c r="F21" s="69"/>
    </row>
    <row r="22" spans="2:6" x14ac:dyDescent="0.2">
      <c r="B22" s="66"/>
      <c r="C22" s="69"/>
      <c r="E22" s="68" t="s">
        <v>481</v>
      </c>
      <c r="F22" s="69">
        <f>F18+F19+(F16-F13)/32-ISPMT(0.04,1,10,F7)</f>
        <v>5174490.2285440005</v>
      </c>
    </row>
    <row r="23" spans="2:6" x14ac:dyDescent="0.2">
      <c r="B23" s="66" t="s">
        <v>482</v>
      </c>
      <c r="C23" s="69">
        <v>2394834</v>
      </c>
      <c r="E23" s="68" t="s">
        <v>483</v>
      </c>
      <c r="F23" s="71">
        <v>25000</v>
      </c>
    </row>
    <row r="24" spans="2:6" x14ac:dyDescent="0.2">
      <c r="B24" s="66" t="s">
        <v>484</v>
      </c>
      <c r="C24" s="69">
        <v>12000</v>
      </c>
      <c r="E24" s="72" t="s">
        <v>485</v>
      </c>
      <c r="F24" s="73">
        <f>F22/F23</f>
        <v>206.97960914176002</v>
      </c>
    </row>
    <row r="25" spans="2:6" x14ac:dyDescent="0.2">
      <c r="B25" s="66"/>
      <c r="C25" s="69"/>
    </row>
    <row r="26" spans="2:6" x14ac:dyDescent="0.2">
      <c r="B26" s="66" t="s">
        <v>480</v>
      </c>
      <c r="C26" s="69"/>
      <c r="E26" t="s">
        <v>457</v>
      </c>
      <c r="F26" t="s">
        <v>458</v>
      </c>
    </row>
    <row r="27" spans="2:6" x14ac:dyDescent="0.2">
      <c r="B27" s="68" t="s">
        <v>486</v>
      </c>
      <c r="C27" s="69">
        <f>C23+C24+(C21-C18)/32-ISPMT(0.04,1,10,C12)</f>
        <v>4862615.9163124999</v>
      </c>
    </row>
    <row r="28" spans="2:6" x14ac:dyDescent="0.2">
      <c r="B28" s="68" t="s">
        <v>483</v>
      </c>
      <c r="C28" s="71">
        <v>25000</v>
      </c>
      <c r="E28" s="64" t="s">
        <v>487</v>
      </c>
      <c r="F28" s="65"/>
    </row>
    <row r="29" spans="2:6" x14ac:dyDescent="0.2">
      <c r="B29" s="72" t="s">
        <v>485</v>
      </c>
      <c r="C29" s="73">
        <f>C27/C28</f>
        <v>194.50463665249998</v>
      </c>
      <c r="E29" s="66" t="s">
        <v>461</v>
      </c>
      <c r="F29" s="67"/>
    </row>
    <row r="30" spans="2:6" x14ac:dyDescent="0.2">
      <c r="E30" s="68" t="s">
        <v>488</v>
      </c>
      <c r="F30" s="69">
        <f>C37+0.064*C37</f>
        <v>444326.40000000002</v>
      </c>
    </row>
    <row r="31" spans="2:6" x14ac:dyDescent="0.2">
      <c r="B31" t="s">
        <v>457</v>
      </c>
      <c r="C31" s="63"/>
      <c r="E31" s="68" t="s">
        <v>465</v>
      </c>
      <c r="F31" s="69">
        <f>C41+0.064*C41</f>
        <v>5556.9173333333338</v>
      </c>
    </row>
    <row r="32" spans="2:6" x14ac:dyDescent="0.2">
      <c r="E32" s="66" t="s">
        <v>461</v>
      </c>
      <c r="F32" s="69">
        <f>SUM(F30:F31)</f>
        <v>449883.31733333337</v>
      </c>
    </row>
    <row r="33" spans="2:6" x14ac:dyDescent="0.2">
      <c r="B33" s="64" t="s">
        <v>487</v>
      </c>
      <c r="C33" s="65"/>
      <c r="E33" s="68"/>
      <c r="F33" s="67"/>
    </row>
    <row r="34" spans="2:6" x14ac:dyDescent="0.2">
      <c r="B34" s="66" t="s">
        <v>460</v>
      </c>
      <c r="C34" s="67"/>
      <c r="E34" s="66" t="s">
        <v>470</v>
      </c>
      <c r="F34" s="67"/>
    </row>
    <row r="35" spans="2:6" x14ac:dyDescent="0.2">
      <c r="B35" s="68" t="s">
        <v>462</v>
      </c>
      <c r="C35" s="69">
        <v>0</v>
      </c>
      <c r="E35" s="68" t="s">
        <v>472</v>
      </c>
      <c r="F35" s="70">
        <f>0.05*F32</f>
        <v>22494.16586666667</v>
      </c>
    </row>
    <row r="36" spans="2:6" x14ac:dyDescent="0.2">
      <c r="B36" s="68" t="s">
        <v>464</v>
      </c>
      <c r="C36" s="69">
        <v>0</v>
      </c>
      <c r="E36" s="68" t="s">
        <v>473</v>
      </c>
      <c r="F36" s="70">
        <f>0.1*F32</f>
        <v>44988.33173333334</v>
      </c>
    </row>
    <row r="37" spans="2:6" x14ac:dyDescent="0.2">
      <c r="B37" s="68" t="s">
        <v>466</v>
      </c>
      <c r="C37" s="69">
        <v>417600</v>
      </c>
      <c r="E37" s="68" t="s">
        <v>475</v>
      </c>
      <c r="F37" s="70">
        <f>0.15*SUM(F30:F31)</f>
        <v>67482.497600000002</v>
      </c>
    </row>
    <row r="38" spans="2:6" x14ac:dyDescent="0.2">
      <c r="B38" s="68" t="s">
        <v>468</v>
      </c>
      <c r="C38" s="69">
        <v>0</v>
      </c>
      <c r="E38" s="68" t="s">
        <v>476</v>
      </c>
      <c r="F38" s="70">
        <f>0.5*0.06*F32</f>
        <v>13496.499520000001</v>
      </c>
    </row>
    <row r="39" spans="2:6" x14ac:dyDescent="0.2">
      <c r="B39" s="68" t="s">
        <v>469</v>
      </c>
      <c r="C39" s="69">
        <v>0</v>
      </c>
      <c r="E39" s="66" t="s">
        <v>470</v>
      </c>
      <c r="F39" s="70">
        <f>SUM(F35:F38)</f>
        <v>148461.49472000002</v>
      </c>
    </row>
    <row r="40" spans="2:6" x14ac:dyDescent="0.2">
      <c r="B40" s="68" t="s">
        <v>471</v>
      </c>
      <c r="C40" s="69">
        <v>0</v>
      </c>
      <c r="E40" s="68"/>
      <c r="F40" s="67"/>
    </row>
    <row r="41" spans="2:6" x14ac:dyDescent="0.2">
      <c r="B41" s="68" t="s">
        <v>465</v>
      </c>
      <c r="C41" s="69">
        <f>(C53+C54)/6</f>
        <v>5222.666666666667</v>
      </c>
      <c r="E41" s="66" t="s">
        <v>477</v>
      </c>
      <c r="F41" s="69">
        <f>SUM(F32,F39)</f>
        <v>598344.81205333339</v>
      </c>
    </row>
    <row r="42" spans="2:6" x14ac:dyDescent="0.2">
      <c r="B42" s="66" t="s">
        <v>474</v>
      </c>
      <c r="C42" s="69">
        <f>SUM(C35:C41)</f>
        <v>422822.66666666669</v>
      </c>
      <c r="E42" s="66"/>
      <c r="F42" s="69"/>
    </row>
    <row r="43" spans="2:6" x14ac:dyDescent="0.2">
      <c r="B43" s="68"/>
      <c r="C43" s="67"/>
      <c r="E43" s="66" t="s">
        <v>489</v>
      </c>
      <c r="F43" s="69">
        <f>C53+0.064*C53</f>
        <v>33341.504000000001</v>
      </c>
    </row>
    <row r="44" spans="2:6" x14ac:dyDescent="0.2">
      <c r="B44" s="66" t="s">
        <v>470</v>
      </c>
      <c r="C44" s="67"/>
      <c r="E44" s="68"/>
      <c r="F44" s="67"/>
    </row>
    <row r="45" spans="2:6" x14ac:dyDescent="0.2">
      <c r="B45" s="68" t="s">
        <v>472</v>
      </c>
      <c r="C45" s="70">
        <f>0.05*(C42-C41)</f>
        <v>20880</v>
      </c>
      <c r="E45" s="66" t="s">
        <v>480</v>
      </c>
      <c r="F45" s="69"/>
    </row>
    <row r="46" spans="2:6" x14ac:dyDescent="0.2">
      <c r="B46" s="68" t="s">
        <v>473</v>
      </c>
      <c r="C46" s="70">
        <f>0.1*C42</f>
        <v>42282.26666666667</v>
      </c>
      <c r="E46" s="68" t="s">
        <v>481</v>
      </c>
      <c r="F46" s="69">
        <f>F43+(F41-F38)/32-ISPMT(0.04,1,10,F32)</f>
        <v>67813.813190666668</v>
      </c>
    </row>
    <row r="47" spans="2:6" x14ac:dyDescent="0.2">
      <c r="B47" s="68" t="s">
        <v>475</v>
      </c>
      <c r="C47" s="70">
        <f>0.15*SUM(C35:C41)</f>
        <v>63423.4</v>
      </c>
      <c r="E47" s="68" t="s">
        <v>483</v>
      </c>
      <c r="F47" s="71">
        <v>25000</v>
      </c>
    </row>
    <row r="48" spans="2:6" x14ac:dyDescent="0.2">
      <c r="B48" s="68" t="s">
        <v>476</v>
      </c>
      <c r="C48" s="70">
        <f>0.5*0.06*C42</f>
        <v>12684.68</v>
      </c>
      <c r="E48" s="72" t="s">
        <v>485</v>
      </c>
      <c r="F48" s="73">
        <f>F46/F47</f>
        <v>2.7125525276266669</v>
      </c>
    </row>
    <row r="49" spans="2:6" x14ac:dyDescent="0.2">
      <c r="B49" s="66" t="s">
        <v>470</v>
      </c>
      <c r="C49" s="70">
        <f>SUM(C45:C48)</f>
        <v>139270.34666666668</v>
      </c>
    </row>
    <row r="50" spans="2:6" x14ac:dyDescent="0.2">
      <c r="B50" s="68"/>
      <c r="C50" s="67"/>
      <c r="E50" t="s">
        <v>448</v>
      </c>
    </row>
    <row r="51" spans="2:6" x14ac:dyDescent="0.2">
      <c r="B51" s="66" t="s">
        <v>477</v>
      </c>
      <c r="C51" s="69">
        <f>SUM(C42,C49)</f>
        <v>562093.01333333342</v>
      </c>
    </row>
    <row r="52" spans="2:6" x14ac:dyDescent="0.2">
      <c r="B52" s="66"/>
      <c r="C52" s="69"/>
      <c r="E52" s="64" t="s">
        <v>490</v>
      </c>
      <c r="F52" s="65"/>
    </row>
    <row r="53" spans="2:6" x14ac:dyDescent="0.2">
      <c r="B53" s="66" t="s">
        <v>491</v>
      </c>
      <c r="C53" s="69">
        <v>31336</v>
      </c>
      <c r="E53" s="66" t="s">
        <v>461</v>
      </c>
      <c r="F53" s="67"/>
    </row>
    <row r="54" spans="2:6" x14ac:dyDescent="0.2">
      <c r="B54" s="66" t="s">
        <v>482</v>
      </c>
      <c r="C54" s="69">
        <v>0</v>
      </c>
      <c r="E54" s="68" t="s">
        <v>492</v>
      </c>
      <c r="F54" s="69">
        <f>'5MGD 15 Effect Levellized VTE'!B3</f>
        <v>25369589.325787447</v>
      </c>
    </row>
    <row r="55" spans="2:6" x14ac:dyDescent="0.2">
      <c r="B55" s="66"/>
      <c r="C55" s="69"/>
      <c r="E55" s="68" t="s">
        <v>465</v>
      </c>
      <c r="F55" s="69">
        <f>(F67+F68)/6</f>
        <v>1003579.1305761487</v>
      </c>
    </row>
    <row r="56" spans="2:6" x14ac:dyDescent="0.2">
      <c r="B56" s="66" t="s">
        <v>480</v>
      </c>
      <c r="C56" s="69"/>
      <c r="E56" s="66" t="s">
        <v>467</v>
      </c>
      <c r="F56" s="69">
        <f>SUM(F54:F55)</f>
        <v>26373168.456363596</v>
      </c>
    </row>
    <row r="57" spans="2:6" x14ac:dyDescent="0.2">
      <c r="B57" s="68" t="s">
        <v>486</v>
      </c>
      <c r="C57" s="69">
        <f>C53+C54+(C51-C48)/32-ISPMT(0.04,1,10,C42)</f>
        <v>63726.626416666673</v>
      </c>
      <c r="E57" s="68"/>
      <c r="F57" s="67"/>
    </row>
    <row r="58" spans="2:6" x14ac:dyDescent="0.2">
      <c r="B58" s="68" t="s">
        <v>483</v>
      </c>
      <c r="C58" s="71">
        <v>25000</v>
      </c>
      <c r="E58" s="66" t="s">
        <v>470</v>
      </c>
      <c r="F58" s="67"/>
    </row>
    <row r="59" spans="2:6" x14ac:dyDescent="0.2">
      <c r="B59" s="72" t="s">
        <v>485</v>
      </c>
      <c r="C59" s="73">
        <f>C57/C58</f>
        <v>2.5490650566666671</v>
      </c>
      <c r="E59" s="68" t="s">
        <v>472</v>
      </c>
      <c r="F59" s="70">
        <f>0.05*F56</f>
        <v>1318658.4228181799</v>
      </c>
    </row>
    <row r="60" spans="2:6" x14ac:dyDescent="0.2">
      <c r="E60" s="68" t="s">
        <v>473</v>
      </c>
      <c r="F60" s="70">
        <f>0.1*F56</f>
        <v>2637316.8456363599</v>
      </c>
    </row>
    <row r="61" spans="2:6" x14ac:dyDescent="0.2">
      <c r="B61" t="s">
        <v>448</v>
      </c>
      <c r="E61" s="68" t="s">
        <v>475</v>
      </c>
      <c r="F61" s="70">
        <f>0.15*SUM(F54:F55)</f>
        <v>3955975.2684545391</v>
      </c>
    </row>
    <row r="62" spans="2:6" x14ac:dyDescent="0.2">
      <c r="E62" s="68" t="s">
        <v>476</v>
      </c>
      <c r="F62" s="70">
        <f>0.5*0.06*F56</f>
        <v>791195.05369090789</v>
      </c>
    </row>
    <row r="63" spans="2:6" x14ac:dyDescent="0.2">
      <c r="B63" s="64" t="s">
        <v>493</v>
      </c>
      <c r="C63" s="65"/>
      <c r="E63" s="66" t="s">
        <v>470</v>
      </c>
      <c r="F63" s="70">
        <f>SUM(F59:F62)</f>
        <v>8703145.5905999877</v>
      </c>
    </row>
    <row r="64" spans="2:6" x14ac:dyDescent="0.2">
      <c r="B64" s="66" t="s">
        <v>460</v>
      </c>
      <c r="C64" s="67"/>
      <c r="E64" s="68"/>
      <c r="F64" s="67"/>
    </row>
    <row r="65" spans="2:6" x14ac:dyDescent="0.2">
      <c r="B65" s="68" t="s">
        <v>462</v>
      </c>
      <c r="C65" s="69">
        <v>0</v>
      </c>
      <c r="E65" s="66" t="s">
        <v>477</v>
      </c>
      <c r="F65" s="69">
        <f>SUM(F56,F63)</f>
        <v>35076314.046963587</v>
      </c>
    </row>
    <row r="66" spans="2:6" x14ac:dyDescent="0.2">
      <c r="B66" s="68" t="s">
        <v>464</v>
      </c>
      <c r="C66" s="69">
        <v>0</v>
      </c>
      <c r="E66" s="66"/>
      <c r="F66" s="69"/>
    </row>
    <row r="67" spans="2:6" x14ac:dyDescent="0.2">
      <c r="B67" s="68" t="s">
        <v>466</v>
      </c>
      <c r="C67" s="69">
        <v>0</v>
      </c>
      <c r="E67" s="66" t="s">
        <v>494</v>
      </c>
      <c r="F67" s="69">
        <v>0</v>
      </c>
    </row>
    <row r="68" spans="2:6" x14ac:dyDescent="0.2">
      <c r="B68" s="68" t="s">
        <v>468</v>
      </c>
      <c r="C68" s="69">
        <v>28000000</v>
      </c>
      <c r="E68" s="66" t="s">
        <v>495</v>
      </c>
      <c r="F68" s="69">
        <f>'5MGD 15 Effect Levellized VTE'!B25</f>
        <v>6021474.7834568927</v>
      </c>
    </row>
    <row r="69" spans="2:6" x14ac:dyDescent="0.2">
      <c r="B69" s="68" t="s">
        <v>469</v>
      </c>
      <c r="C69" s="69">
        <v>0</v>
      </c>
      <c r="E69" s="68"/>
      <c r="F69" s="67"/>
    </row>
    <row r="70" spans="2:6" x14ac:dyDescent="0.2">
      <c r="B70" s="68" t="s">
        <v>471</v>
      </c>
      <c r="C70" s="69">
        <v>0</v>
      </c>
      <c r="E70" s="66" t="s">
        <v>480</v>
      </c>
      <c r="F70" s="69"/>
    </row>
    <row r="71" spans="2:6" x14ac:dyDescent="0.2">
      <c r="B71" s="68" t="s">
        <v>465</v>
      </c>
      <c r="C71" s="69">
        <f>(C83+C84)/6</f>
        <v>193889.33333333334</v>
      </c>
      <c r="E71" s="68" t="s">
        <v>481</v>
      </c>
      <c r="F71" s="69">
        <f>F67+F68+(F65-F62)/32-ISPMT(0.04,1,10,F56)</f>
        <v>8042318.8164257538</v>
      </c>
    </row>
    <row r="72" spans="2:6" x14ac:dyDescent="0.2">
      <c r="B72" s="66" t="s">
        <v>474</v>
      </c>
      <c r="C72" s="69">
        <f>SUM(C65:C71)</f>
        <v>28193889.333333332</v>
      </c>
      <c r="E72" s="68" t="s">
        <v>483</v>
      </c>
      <c r="F72" s="71">
        <v>5000</v>
      </c>
    </row>
    <row r="73" spans="2:6" x14ac:dyDescent="0.2">
      <c r="B73" s="68"/>
      <c r="C73" s="67"/>
      <c r="E73" s="72" t="s">
        <v>485</v>
      </c>
      <c r="F73" s="73">
        <f>F71/F72</f>
        <v>1608.4637632851507</v>
      </c>
    </row>
    <row r="74" spans="2:6" x14ac:dyDescent="0.2">
      <c r="B74" s="66" t="s">
        <v>470</v>
      </c>
      <c r="C74" s="67"/>
    </row>
    <row r="75" spans="2:6" x14ac:dyDescent="0.2">
      <c r="B75" s="68" t="s">
        <v>472</v>
      </c>
      <c r="C75" s="70">
        <f>0.05*(C72-C71)</f>
        <v>1400000</v>
      </c>
    </row>
    <row r="76" spans="2:6" x14ac:dyDescent="0.2">
      <c r="B76" s="68" t="s">
        <v>473</v>
      </c>
      <c r="C76" s="70">
        <f>0.1*C72</f>
        <v>2819388.9333333336</v>
      </c>
      <c r="E76" s="64" t="s">
        <v>496</v>
      </c>
      <c r="F76" s="65"/>
    </row>
    <row r="77" spans="2:6" x14ac:dyDescent="0.2">
      <c r="B77" s="68" t="s">
        <v>475</v>
      </c>
      <c r="C77" s="70">
        <f>0.15*SUM(C65:C71)</f>
        <v>4229083.3999999994</v>
      </c>
      <c r="E77" s="66" t="s">
        <v>461</v>
      </c>
      <c r="F77" s="67"/>
    </row>
    <row r="78" spans="2:6" x14ac:dyDescent="0.2">
      <c r="B78" s="68" t="s">
        <v>476</v>
      </c>
      <c r="C78" s="70">
        <f>0.5*0.06*C72</f>
        <v>845816.67999999993</v>
      </c>
      <c r="E78" s="68" t="s">
        <v>497</v>
      </c>
      <c r="F78" s="69">
        <v>0</v>
      </c>
    </row>
    <row r="79" spans="2:6" x14ac:dyDescent="0.2">
      <c r="B79" s="66" t="s">
        <v>470</v>
      </c>
      <c r="C79" s="70">
        <f>SUM(C75:C78)</f>
        <v>9294289.0133333318</v>
      </c>
      <c r="E79" s="68" t="s">
        <v>463</v>
      </c>
      <c r="F79" s="69">
        <f>C95+0.064*C95</f>
        <v>16841203.736000001</v>
      </c>
    </row>
    <row r="80" spans="2:6" x14ac:dyDescent="0.2">
      <c r="B80" s="68"/>
      <c r="C80" s="67"/>
      <c r="E80" s="68" t="s">
        <v>488</v>
      </c>
      <c r="F80" s="69">
        <f>C96+0.064*C96</f>
        <v>222163.20000000001</v>
      </c>
    </row>
    <row r="81" spans="2:6" x14ac:dyDescent="0.2">
      <c r="B81" s="66" t="s">
        <v>477</v>
      </c>
      <c r="C81" s="69">
        <f>SUM(C72,C79)</f>
        <v>37488178.346666664</v>
      </c>
      <c r="E81" s="68" t="s">
        <v>498</v>
      </c>
      <c r="F81" s="69">
        <f>'5MGD 15 Effect Levellized VTE'!B3</f>
        <v>25369589.325787447</v>
      </c>
    </row>
    <row r="82" spans="2:6" x14ac:dyDescent="0.2">
      <c r="B82" s="66"/>
      <c r="C82" s="69"/>
      <c r="E82" s="68" t="s">
        <v>499</v>
      </c>
      <c r="F82" s="69">
        <v>0</v>
      </c>
    </row>
    <row r="83" spans="2:6" x14ac:dyDescent="0.2">
      <c r="B83" s="66" t="s">
        <v>500</v>
      </c>
      <c r="C83" s="69">
        <v>0</v>
      </c>
      <c r="E83" s="68" t="s">
        <v>501</v>
      </c>
      <c r="F83" s="69">
        <f>C99+0.064*C99</f>
        <v>331968</v>
      </c>
    </row>
    <row r="84" spans="2:6" x14ac:dyDescent="0.2">
      <c r="B84" s="66" t="s">
        <v>502</v>
      </c>
      <c r="C84" s="69">
        <v>1163336</v>
      </c>
      <c r="E84" s="68" t="s">
        <v>465</v>
      </c>
      <c r="F84" s="69">
        <f>C100+0.064*C100</f>
        <v>209076.70933333333</v>
      </c>
    </row>
    <row r="85" spans="2:6" x14ac:dyDescent="0.2">
      <c r="B85" s="66"/>
      <c r="C85" s="69"/>
      <c r="E85" s="66" t="s">
        <v>461</v>
      </c>
      <c r="F85" s="69">
        <f>SUM(F78:F84)</f>
        <v>42974000.971120775</v>
      </c>
    </row>
    <row r="86" spans="2:6" x14ac:dyDescent="0.2">
      <c r="B86" s="66" t="s">
        <v>480</v>
      </c>
      <c r="C86" s="69"/>
      <c r="E86" s="68"/>
      <c r="F86" s="67"/>
    </row>
    <row r="87" spans="2:6" x14ac:dyDescent="0.2">
      <c r="B87" s="68" t="s">
        <v>486</v>
      </c>
      <c r="C87" s="69">
        <f>C83+C84+(C81-C78)/32-ISPMT(0.04,1,10,C72)</f>
        <v>3323389.8180833329</v>
      </c>
      <c r="E87" s="66" t="s">
        <v>470</v>
      </c>
      <c r="F87" s="67"/>
    </row>
    <row r="88" spans="2:6" x14ac:dyDescent="0.2">
      <c r="B88" s="68" t="s">
        <v>483</v>
      </c>
      <c r="C88" s="71">
        <v>5000</v>
      </c>
      <c r="E88" s="68" t="s">
        <v>472</v>
      </c>
      <c r="F88" s="70">
        <f>0.05*F85</f>
        <v>2148700.0485560386</v>
      </c>
    </row>
    <row r="89" spans="2:6" x14ac:dyDescent="0.2">
      <c r="B89" s="72" t="s">
        <v>485</v>
      </c>
      <c r="C89" s="73">
        <f>C87/C88</f>
        <v>664.6779636166666</v>
      </c>
      <c r="E89" s="68" t="s">
        <v>473</v>
      </c>
      <c r="F89" s="70">
        <f>0.1*F85</f>
        <v>4297400.0971120773</v>
      </c>
    </row>
    <row r="90" spans="2:6" x14ac:dyDescent="0.2">
      <c r="E90" s="68" t="s">
        <v>475</v>
      </c>
      <c r="F90" s="70">
        <f>0.15*SUM(F78:F84)</f>
        <v>6446100.1456681164</v>
      </c>
    </row>
    <row r="91" spans="2:6" x14ac:dyDescent="0.2">
      <c r="E91" s="68" t="s">
        <v>476</v>
      </c>
      <c r="F91" s="70">
        <f>0.5*0.06*F85</f>
        <v>1289220.0291336232</v>
      </c>
    </row>
    <row r="92" spans="2:6" x14ac:dyDescent="0.2">
      <c r="B92" s="64" t="s">
        <v>496</v>
      </c>
      <c r="C92" s="65"/>
      <c r="E92" s="66" t="s">
        <v>470</v>
      </c>
      <c r="F92" s="70">
        <f>SUM(F88:F91)</f>
        <v>14181420.320469854</v>
      </c>
    </row>
    <row r="93" spans="2:6" x14ac:dyDescent="0.2">
      <c r="B93" s="66" t="s">
        <v>460</v>
      </c>
      <c r="C93" s="67"/>
      <c r="E93" s="68"/>
      <c r="F93" s="67"/>
    </row>
    <row r="94" spans="2:6" x14ac:dyDescent="0.2">
      <c r="B94" s="68" t="s">
        <v>503</v>
      </c>
      <c r="C94" s="69">
        <v>0</v>
      </c>
      <c r="E94" s="66" t="s">
        <v>477</v>
      </c>
      <c r="F94" s="69">
        <f>SUM(F85,F92)</f>
        <v>57155421.291590631</v>
      </c>
    </row>
    <row r="95" spans="2:6" x14ac:dyDescent="0.2">
      <c r="B95" s="68" t="s">
        <v>464</v>
      </c>
      <c r="C95" s="69">
        <v>15828199</v>
      </c>
      <c r="E95" s="66"/>
      <c r="F95" s="69"/>
    </row>
    <row r="96" spans="2:6" x14ac:dyDescent="0.2">
      <c r="B96" s="68" t="s">
        <v>466</v>
      </c>
      <c r="C96" s="69">
        <v>208800</v>
      </c>
      <c r="E96" s="66" t="s">
        <v>478</v>
      </c>
      <c r="F96" s="69">
        <f>C112+0.064*C112</f>
        <v>1274051.6880000001</v>
      </c>
    </row>
    <row r="97" spans="2:7" x14ac:dyDescent="0.2">
      <c r="B97" s="68" t="s">
        <v>504</v>
      </c>
      <c r="C97" s="69">
        <v>28000000</v>
      </c>
      <c r="E97" s="66" t="s">
        <v>489</v>
      </c>
      <c r="F97" s="69">
        <f>C113+0.064*C113</f>
        <v>16670.752</v>
      </c>
    </row>
    <row r="98" spans="2:7" x14ac:dyDescent="0.2">
      <c r="B98" s="68" t="s">
        <v>469</v>
      </c>
      <c r="C98" s="69">
        <v>0</v>
      </c>
      <c r="E98" s="66" t="s">
        <v>495</v>
      </c>
      <c r="F98" s="69">
        <f>'5MGD 15 Effect Levellized VTE'!B25</f>
        <v>6021474.7834568927</v>
      </c>
    </row>
    <row r="99" spans="2:7" x14ac:dyDescent="0.2">
      <c r="B99" s="68" t="s">
        <v>471</v>
      </c>
      <c r="C99" s="69">
        <v>312000</v>
      </c>
      <c r="E99" s="68"/>
      <c r="F99" s="67"/>
    </row>
    <row r="100" spans="2:7" x14ac:dyDescent="0.2">
      <c r="B100" s="68" t="s">
        <v>465</v>
      </c>
      <c r="C100" s="69">
        <f>(C113+C114)/6</f>
        <v>196500.66666666666</v>
      </c>
      <c r="E100" s="66" t="s">
        <v>480</v>
      </c>
      <c r="F100" s="69"/>
    </row>
    <row r="101" spans="2:7" x14ac:dyDescent="0.2">
      <c r="B101" s="66" t="s">
        <v>474</v>
      </c>
      <c r="C101" s="69">
        <f>SUM(C94:C100)</f>
        <v>44545499.666666664</v>
      </c>
      <c r="E101" s="68" t="s">
        <v>481</v>
      </c>
      <c r="F101" s="69">
        <f>F96+F97+F98+(F94-F91)/32-ISPMT(0.04,1,10,F85)</f>
        <v>10605080.047869023</v>
      </c>
    </row>
    <row r="102" spans="2:7" x14ac:dyDescent="0.2">
      <c r="B102" s="68"/>
      <c r="C102" s="67"/>
      <c r="E102" s="68" t="s">
        <v>483</v>
      </c>
      <c r="F102" s="71">
        <v>17000</v>
      </c>
    </row>
    <row r="103" spans="2:7" x14ac:dyDescent="0.2">
      <c r="B103" s="66" t="s">
        <v>470</v>
      </c>
      <c r="C103" s="67"/>
      <c r="E103" s="72" t="s">
        <v>485</v>
      </c>
      <c r="F103" s="73">
        <f>F101/F102</f>
        <v>623.8282381099425</v>
      </c>
    </row>
    <row r="104" spans="2:7" x14ac:dyDescent="0.2">
      <c r="B104" s="68" t="s">
        <v>472</v>
      </c>
      <c r="C104" s="70">
        <f>0.05*(C101-C100)</f>
        <v>2217449.9500000002</v>
      </c>
    </row>
    <row r="105" spans="2:7" x14ac:dyDescent="0.2">
      <c r="B105" s="68" t="s">
        <v>473</v>
      </c>
      <c r="C105" s="70">
        <f>0.1*C101</f>
        <v>4454549.9666666668</v>
      </c>
    </row>
    <row r="106" spans="2:7" x14ac:dyDescent="0.2">
      <c r="B106" s="68" t="s">
        <v>475</v>
      </c>
      <c r="C106" s="70">
        <f>0.15*SUM(C94:C100)</f>
        <v>6681824.9499999993</v>
      </c>
      <c r="E106" s="74"/>
      <c r="F106" s="75"/>
      <c r="G106" s="75"/>
    </row>
    <row r="107" spans="2:7" x14ac:dyDescent="0.2">
      <c r="B107" s="68" t="s">
        <v>476</v>
      </c>
      <c r="C107" s="70">
        <f>0.5*0.06*C101</f>
        <v>1336364.99</v>
      </c>
      <c r="E107" s="74"/>
      <c r="F107" s="75"/>
      <c r="G107" s="75"/>
    </row>
    <row r="108" spans="2:7" x14ac:dyDescent="0.2">
      <c r="B108" s="66" t="s">
        <v>470</v>
      </c>
      <c r="C108" s="70">
        <f>SUM(C104:C107)</f>
        <v>14690189.856666667</v>
      </c>
      <c r="E108" s="76"/>
      <c r="F108" s="63"/>
      <c r="G108" s="75"/>
    </row>
    <row r="109" spans="2:7" x14ac:dyDescent="0.2">
      <c r="B109" s="68"/>
      <c r="C109" s="67"/>
      <c r="E109" s="76"/>
      <c r="F109" s="63"/>
      <c r="G109" s="75"/>
    </row>
    <row r="110" spans="2:7" x14ac:dyDescent="0.2">
      <c r="B110" s="66" t="s">
        <v>477</v>
      </c>
      <c r="C110" s="69">
        <f>SUM(C101,C108)</f>
        <v>59235689.523333333</v>
      </c>
      <c r="E110" s="76"/>
      <c r="F110" s="63"/>
      <c r="G110" s="75"/>
    </row>
    <row r="111" spans="2:7" x14ac:dyDescent="0.2">
      <c r="B111" s="66"/>
      <c r="C111" s="69"/>
      <c r="E111" s="76"/>
      <c r="F111" s="63"/>
      <c r="G111" s="75"/>
    </row>
    <row r="112" spans="2:7" x14ac:dyDescent="0.2">
      <c r="B112" s="66" t="s">
        <v>482</v>
      </c>
      <c r="C112" s="69">
        <v>1197417</v>
      </c>
      <c r="E112" s="76"/>
      <c r="F112" s="63"/>
      <c r="G112" s="75"/>
    </row>
    <row r="113" spans="1:10" x14ac:dyDescent="0.2">
      <c r="B113" s="66" t="s">
        <v>491</v>
      </c>
      <c r="C113" s="69">
        <v>15668</v>
      </c>
      <c r="E113" s="76"/>
      <c r="F113" s="63"/>
      <c r="G113" s="75"/>
    </row>
    <row r="114" spans="1:10" x14ac:dyDescent="0.2">
      <c r="B114" s="66" t="s">
        <v>502</v>
      </c>
      <c r="C114" s="69">
        <v>1163336</v>
      </c>
      <c r="E114" s="76"/>
      <c r="F114" s="63"/>
      <c r="G114" s="75"/>
    </row>
    <row r="115" spans="1:10" x14ac:dyDescent="0.2">
      <c r="B115" s="66"/>
      <c r="C115" s="69"/>
      <c r="E115" s="74"/>
      <c r="F115" s="63"/>
      <c r="G115" s="75"/>
    </row>
    <row r="116" spans="1:10" x14ac:dyDescent="0.2">
      <c r="B116" s="66" t="s">
        <v>480</v>
      </c>
      <c r="C116" s="69"/>
      <c r="E116" s="76"/>
      <c r="F116" s="75"/>
      <c r="G116" s="75"/>
    </row>
    <row r="117" spans="1:10" x14ac:dyDescent="0.2">
      <c r="B117" s="68" t="s">
        <v>486</v>
      </c>
      <c r="C117" s="69">
        <f>C112+C113+C114+(C110-C107)/32-ISPMT(0.04,1,10,C101)</f>
        <v>5789412.8796666665</v>
      </c>
      <c r="E117" s="74"/>
      <c r="F117" s="75"/>
      <c r="G117" s="75"/>
    </row>
    <row r="118" spans="1:10" x14ac:dyDescent="0.2">
      <c r="B118" s="68" t="s">
        <v>483</v>
      </c>
      <c r="C118" s="71">
        <v>17000</v>
      </c>
      <c r="E118" s="76"/>
      <c r="F118" s="77"/>
      <c r="G118" s="75"/>
    </row>
    <row r="119" spans="1:10" x14ac:dyDescent="0.2">
      <c r="B119" s="72" t="s">
        <v>485</v>
      </c>
      <c r="C119" s="73">
        <f>C117/C118</f>
        <v>340.55369880392158</v>
      </c>
      <c r="E119" s="76"/>
      <c r="F119" s="77"/>
      <c r="G119" s="75"/>
      <c r="H119" s="75"/>
      <c r="I119" s="75"/>
      <c r="J119" s="75"/>
    </row>
    <row r="120" spans="1:10" x14ac:dyDescent="0.2">
      <c r="E120" s="76"/>
      <c r="F120" s="77"/>
      <c r="G120" s="75"/>
      <c r="H120" s="75"/>
      <c r="I120" s="75"/>
      <c r="J120" s="75"/>
    </row>
    <row r="121" spans="1:10" x14ac:dyDescent="0.2">
      <c r="A121" s="75"/>
      <c r="B121" s="75"/>
      <c r="C121" s="75"/>
      <c r="D121" s="75"/>
      <c r="E121" s="76"/>
      <c r="F121" s="77"/>
      <c r="G121" s="75"/>
      <c r="H121" s="74"/>
      <c r="I121" s="75"/>
      <c r="J121" s="75"/>
    </row>
    <row r="122" spans="1:10" x14ac:dyDescent="0.2">
      <c r="A122" s="75"/>
      <c r="B122" s="74"/>
      <c r="C122" s="75"/>
      <c r="D122" s="75"/>
      <c r="E122" s="74"/>
      <c r="F122" s="77"/>
      <c r="G122" s="75"/>
      <c r="H122" s="74"/>
      <c r="I122" s="75"/>
      <c r="J122" s="75"/>
    </row>
    <row r="123" spans="1:10" x14ac:dyDescent="0.2">
      <c r="A123" s="75"/>
      <c r="B123" s="74"/>
      <c r="C123" s="75"/>
      <c r="D123" s="75"/>
      <c r="E123" s="76"/>
      <c r="F123" s="75"/>
      <c r="G123" s="75"/>
      <c r="H123" s="76"/>
      <c r="I123" s="63"/>
      <c r="J123" s="75"/>
    </row>
    <row r="124" spans="1:10" x14ac:dyDescent="0.2">
      <c r="A124" s="75"/>
      <c r="B124" s="76"/>
      <c r="C124" s="63"/>
      <c r="D124" s="75"/>
      <c r="E124" s="74"/>
      <c r="F124" s="63"/>
      <c r="G124" s="75"/>
      <c r="H124" s="76"/>
      <c r="I124" s="63"/>
      <c r="J124" s="75"/>
    </row>
    <row r="125" spans="1:10" x14ac:dyDescent="0.2">
      <c r="A125" s="75"/>
      <c r="B125" s="76"/>
      <c r="C125" s="63"/>
      <c r="D125" s="75"/>
      <c r="E125" s="74"/>
      <c r="F125" s="63"/>
      <c r="G125" s="75"/>
      <c r="H125" s="74"/>
      <c r="I125" s="63"/>
      <c r="J125" s="75"/>
    </row>
    <row r="126" spans="1:10" x14ac:dyDescent="0.2">
      <c r="A126" s="75"/>
      <c r="B126" s="76"/>
      <c r="C126" s="63"/>
      <c r="D126" s="75"/>
      <c r="E126" s="74"/>
      <c r="F126" s="63"/>
      <c r="G126" s="75"/>
      <c r="H126" s="76"/>
      <c r="I126" s="75"/>
      <c r="J126" s="75"/>
    </row>
    <row r="127" spans="1:10" x14ac:dyDescent="0.2">
      <c r="A127" s="75"/>
      <c r="B127" s="76"/>
      <c r="C127" s="63"/>
      <c r="D127" s="75"/>
      <c r="E127" s="74"/>
      <c r="F127" s="63"/>
      <c r="G127" s="75"/>
      <c r="H127" s="74"/>
      <c r="I127" s="75"/>
      <c r="J127" s="75"/>
    </row>
    <row r="128" spans="1:10" x14ac:dyDescent="0.2">
      <c r="A128" s="75"/>
      <c r="B128" s="76"/>
      <c r="C128" s="63"/>
      <c r="D128" s="75"/>
      <c r="E128" s="74"/>
      <c r="F128" s="63"/>
      <c r="G128" s="75"/>
      <c r="H128" s="76"/>
      <c r="I128" s="77"/>
      <c r="J128" s="75"/>
    </row>
    <row r="129" spans="1:10" x14ac:dyDescent="0.2">
      <c r="A129" s="75"/>
      <c r="B129" s="76"/>
      <c r="C129" s="63"/>
      <c r="D129" s="75"/>
      <c r="E129" s="76"/>
      <c r="F129" s="75"/>
      <c r="G129" s="75"/>
      <c r="H129" s="76"/>
      <c r="I129" s="77"/>
      <c r="J129" s="75"/>
    </row>
    <row r="130" spans="1:10" x14ac:dyDescent="0.2">
      <c r="A130" s="75"/>
      <c r="B130" s="76"/>
      <c r="C130" s="63"/>
      <c r="D130" s="75"/>
      <c r="E130" s="74"/>
      <c r="F130" s="63"/>
      <c r="G130" s="75"/>
      <c r="H130" s="76"/>
      <c r="I130" s="77"/>
      <c r="J130" s="75"/>
    </row>
    <row r="131" spans="1:10" x14ac:dyDescent="0.2">
      <c r="A131" s="75"/>
      <c r="B131" s="74"/>
      <c r="C131" s="63"/>
      <c r="D131" s="75"/>
      <c r="E131" s="76"/>
      <c r="F131" s="63"/>
      <c r="G131" s="75"/>
      <c r="H131" s="76"/>
      <c r="I131" s="77"/>
      <c r="J131" s="75"/>
    </row>
    <row r="132" spans="1:10" x14ac:dyDescent="0.2">
      <c r="A132" s="75"/>
      <c r="B132" s="76"/>
      <c r="C132" s="75"/>
      <c r="D132" s="75"/>
      <c r="E132" s="76"/>
      <c r="F132" s="78"/>
      <c r="G132" s="75"/>
      <c r="H132" s="74"/>
      <c r="I132" s="77"/>
      <c r="J132" s="75"/>
    </row>
    <row r="133" spans="1:10" x14ac:dyDescent="0.2">
      <c r="A133" s="75"/>
      <c r="B133" s="74"/>
      <c r="C133" s="75"/>
      <c r="D133" s="75"/>
      <c r="E133" s="74"/>
      <c r="F133" s="63"/>
      <c r="G133" s="75"/>
      <c r="H133" s="74"/>
      <c r="I133" s="63"/>
      <c r="J133" s="75"/>
    </row>
    <row r="134" spans="1:10" x14ac:dyDescent="0.2">
      <c r="A134" s="75"/>
      <c r="B134" s="76"/>
      <c r="C134" s="77"/>
      <c r="D134" s="75"/>
      <c r="E134" s="75"/>
      <c r="F134" s="75"/>
      <c r="G134" s="75"/>
      <c r="H134" s="74"/>
      <c r="I134" s="63"/>
      <c r="J134" s="75"/>
    </row>
    <row r="135" spans="1:10" x14ac:dyDescent="0.2">
      <c r="A135" s="75"/>
      <c r="B135" s="76"/>
      <c r="C135" s="77"/>
      <c r="D135" s="75"/>
      <c r="G135" s="75"/>
      <c r="H135" s="74"/>
      <c r="I135" s="63"/>
      <c r="J135" s="75"/>
    </row>
    <row r="136" spans="1:10" x14ac:dyDescent="0.2">
      <c r="A136" s="75"/>
      <c r="B136" s="76"/>
      <c r="C136" s="77"/>
      <c r="D136" s="75"/>
      <c r="G136" s="75"/>
      <c r="H136" s="76"/>
      <c r="I136" s="75"/>
      <c r="J136" s="75"/>
    </row>
    <row r="137" spans="1:10" x14ac:dyDescent="0.2">
      <c r="A137" s="75"/>
      <c r="B137" s="76"/>
      <c r="C137" s="77"/>
      <c r="D137" s="75"/>
      <c r="G137" s="75"/>
      <c r="H137" s="74"/>
      <c r="I137" s="63"/>
      <c r="J137" s="75"/>
    </row>
    <row r="138" spans="1:10" x14ac:dyDescent="0.2">
      <c r="A138" s="75"/>
      <c r="B138" s="74"/>
      <c r="C138" s="77"/>
      <c r="D138" s="75"/>
      <c r="G138" s="75"/>
      <c r="H138" s="76"/>
      <c r="I138" s="63"/>
      <c r="J138" s="75"/>
    </row>
    <row r="139" spans="1:10" x14ac:dyDescent="0.2">
      <c r="A139" s="75"/>
      <c r="B139" s="76"/>
      <c r="C139" s="75"/>
      <c r="D139" s="75"/>
      <c r="G139" s="75"/>
      <c r="H139" s="76"/>
      <c r="I139" s="78"/>
      <c r="J139" s="75"/>
    </row>
    <row r="140" spans="1:10" x14ac:dyDescent="0.2">
      <c r="A140" s="75"/>
      <c r="B140" s="74"/>
      <c r="C140" s="63"/>
      <c r="D140" s="75"/>
      <c r="G140" s="75"/>
      <c r="H140" s="74"/>
      <c r="I140" s="63"/>
      <c r="J140" s="75"/>
    </row>
    <row r="141" spans="1:10" x14ac:dyDescent="0.2">
      <c r="A141" s="75"/>
      <c r="B141" s="74"/>
      <c r="C141" s="63"/>
      <c r="D141" s="75"/>
      <c r="G141" s="75"/>
      <c r="H141" s="75"/>
      <c r="I141" s="75"/>
      <c r="J141" s="75"/>
    </row>
    <row r="142" spans="1:10" x14ac:dyDescent="0.2">
      <c r="A142" s="75"/>
      <c r="B142" s="74"/>
      <c r="C142" s="63"/>
      <c r="D142" s="75"/>
      <c r="G142" s="75"/>
      <c r="H142" s="75"/>
      <c r="I142" s="75"/>
      <c r="J142" s="75"/>
    </row>
    <row r="143" spans="1:10" x14ac:dyDescent="0.2">
      <c r="A143" s="75"/>
      <c r="B143" s="74"/>
      <c r="C143" s="63"/>
      <c r="D143" s="75"/>
    </row>
    <row r="144" spans="1:10" x14ac:dyDescent="0.2">
      <c r="A144" s="75"/>
      <c r="B144" s="74"/>
      <c r="C144" s="63"/>
      <c r="D144" s="75"/>
    </row>
    <row r="145" spans="1:4" x14ac:dyDescent="0.2">
      <c r="A145" s="75"/>
      <c r="B145" s="74"/>
      <c r="C145" s="63"/>
      <c r="D145" s="75"/>
    </row>
    <row r="146" spans="1:4" x14ac:dyDescent="0.2">
      <c r="A146" s="75"/>
      <c r="B146" s="74"/>
      <c r="C146" s="63"/>
      <c r="D146" s="75"/>
    </row>
    <row r="147" spans="1:4" x14ac:dyDescent="0.2">
      <c r="A147" s="75"/>
      <c r="B147" s="76"/>
      <c r="C147" s="63"/>
      <c r="D147" s="75"/>
    </row>
    <row r="148" spans="1:4" x14ac:dyDescent="0.2">
      <c r="A148" s="75"/>
      <c r="B148" s="76"/>
      <c r="C148" s="78"/>
      <c r="D148" s="75"/>
    </row>
    <row r="149" spans="1:4" x14ac:dyDescent="0.2">
      <c r="A149" s="75"/>
      <c r="B149" s="74"/>
      <c r="C149" s="63"/>
      <c r="D149" s="75"/>
    </row>
    <row r="150" spans="1:4" x14ac:dyDescent="0.2">
      <c r="A150" s="75"/>
      <c r="B150" s="75"/>
      <c r="C150" s="75"/>
      <c r="D150" s="75"/>
    </row>
    <row r="151" spans="1:4" x14ac:dyDescent="0.2">
      <c r="A151" s="75"/>
      <c r="B151" s="75"/>
      <c r="C151" s="75"/>
      <c r="D151" s="75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K6"/>
  <sheetViews>
    <sheetView zoomScale="110" zoomScaleNormal="110" workbookViewId="0">
      <selection activeCell="I15" sqref="I15"/>
    </sheetView>
  </sheetViews>
  <sheetFormatPr defaultRowHeight="12.75" x14ac:dyDescent="0.2"/>
  <cols>
    <col min="1" max="1" width="39.5703125" customWidth="1"/>
    <col min="3" max="3" width="5.85546875" customWidth="1"/>
    <col min="4" max="4" width="10.42578125" customWidth="1"/>
    <col min="5" max="5" width="6.5703125" customWidth="1"/>
    <col min="6" max="6" width="15.140625" customWidth="1"/>
    <col min="7" max="7" width="8" customWidth="1"/>
    <col min="8" max="8" width="1.85546875" customWidth="1"/>
    <col min="9" max="9" width="13.42578125" customWidth="1"/>
    <col min="10" max="10" width="17.5703125" customWidth="1"/>
    <col min="11" max="11" width="18.42578125" customWidth="1"/>
  </cols>
  <sheetData>
    <row r="1" spans="1:11" x14ac:dyDescent="0.2">
      <c r="A1" t="s">
        <v>505</v>
      </c>
      <c r="B1" s="79">
        <f>'Blended Water Cost Summary'!F12</f>
        <v>16802.035130137658</v>
      </c>
      <c r="C1" t="s">
        <v>190</v>
      </c>
      <c r="D1" t="s">
        <v>506</v>
      </c>
      <c r="F1" t="s">
        <v>106</v>
      </c>
      <c r="I1" s="217" t="s">
        <v>507</v>
      </c>
      <c r="J1" s="217"/>
      <c r="K1" s="217"/>
    </row>
    <row r="2" spans="1:11" x14ac:dyDescent="0.2">
      <c r="A2" t="s">
        <v>508</v>
      </c>
      <c r="B2" s="3">
        <f>IF(B1&gt;500,500,B2)</f>
        <v>500</v>
      </c>
      <c r="C2" t="s">
        <v>190</v>
      </c>
      <c r="D2" s="5">
        <f>B$1-B2</f>
        <v>16302.035130137658</v>
      </c>
      <c r="E2" t="s">
        <v>190</v>
      </c>
      <c r="F2" s="2">
        <f>B2*J3+B2*K3</f>
        <v>161875</v>
      </c>
      <c r="G2" t="s">
        <v>114</v>
      </c>
      <c r="I2" t="s">
        <v>509</v>
      </c>
      <c r="J2" t="s">
        <v>510</v>
      </c>
      <c r="K2" t="s">
        <v>511</v>
      </c>
    </row>
    <row r="3" spans="1:11" x14ac:dyDescent="0.2">
      <c r="A3" t="s">
        <v>512</v>
      </c>
      <c r="B3" s="3">
        <f>IF(D2&gt;500,500,D2)</f>
        <v>500</v>
      </c>
      <c r="C3" t="s">
        <v>190</v>
      </c>
      <c r="D3" s="5">
        <f>D2-B3</f>
        <v>15802.035130137658</v>
      </c>
      <c r="E3" t="s">
        <v>190</v>
      </c>
      <c r="F3" s="2">
        <f>B3*J4+B3*K4</f>
        <v>227915</v>
      </c>
      <c r="G3" t="s">
        <v>114</v>
      </c>
      <c r="I3" t="s">
        <v>513</v>
      </c>
      <c r="J3" s="2">
        <v>64.75</v>
      </c>
      <c r="K3" s="2">
        <v>259</v>
      </c>
    </row>
    <row r="4" spans="1:11" x14ac:dyDescent="0.2">
      <c r="A4" t="s">
        <v>514</v>
      </c>
      <c r="B4" s="3">
        <f>IF(D3&gt;1500,1500,D3)</f>
        <v>1500</v>
      </c>
      <c r="C4" t="s">
        <v>190</v>
      </c>
      <c r="D4" s="5">
        <f>D3-B4</f>
        <v>14302.035130137658</v>
      </c>
      <c r="E4" t="s">
        <v>190</v>
      </c>
      <c r="F4" s="2">
        <f>B4*J5+B4*K5</f>
        <v>858570</v>
      </c>
      <c r="G4" t="s">
        <v>114</v>
      </c>
      <c r="I4" t="s">
        <v>515</v>
      </c>
      <c r="J4" s="2">
        <v>91.17</v>
      </c>
      <c r="K4" s="2">
        <v>364.66</v>
      </c>
    </row>
    <row r="5" spans="1:11" x14ac:dyDescent="0.2">
      <c r="A5" t="s">
        <v>516</v>
      </c>
      <c r="B5" s="5">
        <f>D4</f>
        <v>14302.035130137658</v>
      </c>
      <c r="C5" t="s">
        <v>190</v>
      </c>
      <c r="D5" s="5">
        <f>D4-B5</f>
        <v>0</v>
      </c>
      <c r="F5" s="2">
        <f>B5*J6+B5*K6</f>
        <v>10112253.938763831</v>
      </c>
      <c r="G5" t="s">
        <v>114</v>
      </c>
      <c r="I5" t="s">
        <v>517</v>
      </c>
      <c r="J5" s="2">
        <v>114.48</v>
      </c>
      <c r="K5" s="2">
        <v>457.9</v>
      </c>
    </row>
    <row r="6" spans="1:11" x14ac:dyDescent="0.2">
      <c r="A6" t="s">
        <v>518</v>
      </c>
      <c r="F6" s="58">
        <f>SUM(F2:F5)</f>
        <v>11360613.938763831</v>
      </c>
      <c r="G6" t="s">
        <v>114</v>
      </c>
      <c r="I6" t="s">
        <v>519</v>
      </c>
      <c r="J6" s="2">
        <v>141.41</v>
      </c>
      <c r="K6" s="2">
        <v>565.64</v>
      </c>
    </row>
  </sheetData>
  <sheetProtection selectLockedCells="1" selectUnlockedCells="1"/>
  <mergeCells count="1">
    <mergeCell ref="I1:K1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8"/>
  <sheetViews>
    <sheetView zoomScale="110" zoomScaleNormal="110" workbookViewId="0">
      <selection activeCell="C19" sqref="C19"/>
    </sheetView>
  </sheetViews>
  <sheetFormatPr defaultColWidth="11.5703125" defaultRowHeight="12.75" x14ac:dyDescent="0.2"/>
  <cols>
    <col min="1" max="1" width="27" customWidth="1"/>
    <col min="2" max="2" width="14.42578125" style="10" customWidth="1"/>
    <col min="3" max="3" width="11.5703125" style="10"/>
    <col min="4" max="4" width="13.5703125" style="10" customWidth="1"/>
  </cols>
  <sheetData>
    <row r="1" spans="1:4" x14ac:dyDescent="0.2">
      <c r="A1" s="1" t="s">
        <v>32</v>
      </c>
      <c r="B1" s="12" t="s">
        <v>33</v>
      </c>
      <c r="C1" s="12" t="s">
        <v>34</v>
      </c>
      <c r="D1" s="12" t="s">
        <v>35</v>
      </c>
    </row>
    <row r="2" spans="1:4" x14ac:dyDescent="0.2">
      <c r="A2" t="s">
        <v>36</v>
      </c>
      <c r="B2" s="10">
        <v>180000</v>
      </c>
      <c r="C2" s="10">
        <f>0.3*B2</f>
        <v>54000</v>
      </c>
      <c r="D2" s="10">
        <f>B2+C2</f>
        <v>234000</v>
      </c>
    </row>
    <row r="3" spans="1:4" x14ac:dyDescent="0.2">
      <c r="A3" t="s">
        <v>37</v>
      </c>
      <c r="B3" s="10">
        <v>160000</v>
      </c>
      <c r="C3" s="10">
        <f t="shared" ref="C3:C6" si="0">0.3*B3</f>
        <v>48000</v>
      </c>
      <c r="D3" s="10">
        <f>B3+C3</f>
        <v>208000</v>
      </c>
    </row>
    <row r="4" spans="1:4" x14ac:dyDescent="0.2">
      <c r="A4" t="s">
        <v>38</v>
      </c>
      <c r="B4" s="10">
        <v>150000</v>
      </c>
      <c r="C4" s="10">
        <f t="shared" si="0"/>
        <v>45000</v>
      </c>
      <c r="D4" s="10">
        <f>B4+C4</f>
        <v>195000</v>
      </c>
    </row>
    <row r="5" spans="1:4" x14ac:dyDescent="0.2">
      <c r="A5" t="s">
        <v>39</v>
      </c>
      <c r="B5" s="10">
        <v>150000</v>
      </c>
      <c r="C5" s="10">
        <f t="shared" si="0"/>
        <v>45000</v>
      </c>
      <c r="D5" s="10">
        <f>B5+C5</f>
        <v>195000</v>
      </c>
    </row>
    <row r="6" spans="1:4" x14ac:dyDescent="0.2">
      <c r="A6" t="s">
        <v>40</v>
      </c>
      <c r="B6" s="10">
        <v>80000</v>
      </c>
      <c r="C6" s="10">
        <f t="shared" si="0"/>
        <v>24000</v>
      </c>
      <c r="D6" s="10">
        <f>B6+C6</f>
        <v>104000</v>
      </c>
    </row>
    <row r="7" spans="1:4" x14ac:dyDescent="0.2">
      <c r="A7" s="1" t="s">
        <v>41</v>
      </c>
      <c r="D7" s="12">
        <f>SUM(D2:D6)</f>
        <v>936000</v>
      </c>
    </row>
    <row r="9" spans="1:4" x14ac:dyDescent="0.2">
      <c r="A9" t="s">
        <v>42</v>
      </c>
      <c r="B9" s="10">
        <v>50000</v>
      </c>
      <c r="D9" s="10">
        <f t="shared" ref="D9:D17" si="1">B9+C9</f>
        <v>50000</v>
      </c>
    </row>
    <row r="10" spans="1:4" x14ac:dyDescent="0.2">
      <c r="A10" t="s">
        <v>43</v>
      </c>
      <c r="B10" s="10">
        <v>10000</v>
      </c>
      <c r="D10" s="10">
        <f t="shared" si="1"/>
        <v>10000</v>
      </c>
    </row>
    <row r="11" spans="1:4" x14ac:dyDescent="0.2">
      <c r="A11" t="s">
        <v>44</v>
      </c>
      <c r="B11" s="10">
        <f>1000*12</f>
        <v>12000</v>
      </c>
      <c r="D11" s="10">
        <f t="shared" si="1"/>
        <v>12000</v>
      </c>
    </row>
    <row r="12" spans="1:4" x14ac:dyDescent="0.2">
      <c r="A12" t="s">
        <v>45</v>
      </c>
      <c r="B12" s="10">
        <v>5000</v>
      </c>
      <c r="D12" s="10">
        <f t="shared" si="1"/>
        <v>5000</v>
      </c>
    </row>
    <row r="13" spans="1:4" x14ac:dyDescent="0.2">
      <c r="A13" t="s">
        <v>46</v>
      </c>
      <c r="B13" s="10">
        <v>10000</v>
      </c>
      <c r="D13" s="10">
        <f t="shared" si="1"/>
        <v>10000</v>
      </c>
    </row>
    <row r="14" spans="1:4" x14ac:dyDescent="0.2">
      <c r="A14" t="s">
        <v>47</v>
      </c>
      <c r="B14" s="10">
        <v>5000</v>
      </c>
      <c r="D14" s="10">
        <f t="shared" si="1"/>
        <v>5000</v>
      </c>
    </row>
    <row r="15" spans="1:4" x14ac:dyDescent="0.2">
      <c r="A15" t="s">
        <v>48</v>
      </c>
      <c r="B15" s="10">
        <f>180*12</f>
        <v>2160</v>
      </c>
      <c r="D15" s="10">
        <f t="shared" si="1"/>
        <v>2160</v>
      </c>
    </row>
    <row r="16" spans="1:4" x14ac:dyDescent="0.2">
      <c r="A16" t="s">
        <v>49</v>
      </c>
      <c r="B16" s="10">
        <f>150*12</f>
        <v>1800</v>
      </c>
      <c r="D16" s="10">
        <f t="shared" si="1"/>
        <v>1800</v>
      </c>
    </row>
    <row r="17" spans="1:4" x14ac:dyDescent="0.2">
      <c r="A17" t="s">
        <v>50</v>
      </c>
      <c r="B17" s="10">
        <f>100*12</f>
        <v>1200</v>
      </c>
      <c r="D17" s="10">
        <f t="shared" si="1"/>
        <v>1200</v>
      </c>
    </row>
    <row r="18" spans="1:4" x14ac:dyDescent="0.2">
      <c r="A18" s="1" t="s">
        <v>51</v>
      </c>
      <c r="D18" s="12">
        <f>SUM(D9:D17)</f>
        <v>97160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5"/>
  <sheetViews>
    <sheetView zoomScale="110" zoomScaleNormal="110" workbookViewId="0">
      <selection activeCell="H4" sqref="H4"/>
    </sheetView>
  </sheetViews>
  <sheetFormatPr defaultColWidth="11.5703125" defaultRowHeight="12.75" x14ac:dyDescent="0.2"/>
  <cols>
    <col min="1" max="1" width="27.42578125" customWidth="1"/>
    <col min="2" max="2" width="13.42578125" style="10" customWidth="1"/>
    <col min="3" max="3" width="11.5703125" style="10"/>
    <col min="4" max="4" width="14.42578125" style="10" customWidth="1"/>
  </cols>
  <sheetData>
    <row r="1" spans="1:4" x14ac:dyDescent="0.2">
      <c r="A1" s="1" t="s">
        <v>32</v>
      </c>
      <c r="B1" s="12" t="s">
        <v>33</v>
      </c>
      <c r="C1" s="12" t="s">
        <v>34</v>
      </c>
      <c r="D1" s="12" t="s">
        <v>35</v>
      </c>
    </row>
    <row r="2" spans="1:4" x14ac:dyDescent="0.2">
      <c r="A2" t="s">
        <v>52</v>
      </c>
      <c r="B2" s="10">
        <v>200000</v>
      </c>
      <c r="C2" s="10">
        <f>0.3*B2</f>
        <v>60000</v>
      </c>
      <c r="D2" s="10">
        <f t="shared" ref="D2:D8" si="0">B2+C2</f>
        <v>260000</v>
      </c>
    </row>
    <row r="3" spans="1:4" x14ac:dyDescent="0.2">
      <c r="A3" t="s">
        <v>53</v>
      </c>
      <c r="B3" s="10">
        <v>200000</v>
      </c>
      <c r="C3" s="10">
        <f t="shared" ref="C3:C8" si="1">0.3*B3</f>
        <v>60000</v>
      </c>
      <c r="D3" s="10">
        <f t="shared" si="0"/>
        <v>260000</v>
      </c>
    </row>
    <row r="4" spans="1:4" x14ac:dyDescent="0.2">
      <c r="A4" t="s">
        <v>54</v>
      </c>
      <c r="B4" s="10">
        <v>180000</v>
      </c>
      <c r="C4" s="10">
        <f t="shared" si="1"/>
        <v>54000</v>
      </c>
      <c r="D4" s="10">
        <f t="shared" si="0"/>
        <v>234000</v>
      </c>
    </row>
    <row r="5" spans="1:4" x14ac:dyDescent="0.2">
      <c r="A5" t="s">
        <v>55</v>
      </c>
      <c r="B5" s="10">
        <v>180000</v>
      </c>
      <c r="C5" s="10">
        <f t="shared" si="1"/>
        <v>54000</v>
      </c>
      <c r="D5" s="10">
        <f t="shared" si="0"/>
        <v>234000</v>
      </c>
    </row>
    <row r="6" spans="1:4" x14ac:dyDescent="0.2">
      <c r="A6" t="s">
        <v>56</v>
      </c>
      <c r="B6" s="10">
        <v>75000</v>
      </c>
      <c r="C6" s="10">
        <f t="shared" si="1"/>
        <v>22500</v>
      </c>
      <c r="D6" s="10">
        <f t="shared" si="0"/>
        <v>97500</v>
      </c>
    </row>
    <row r="7" spans="1:4" x14ac:dyDescent="0.2">
      <c r="A7" t="s">
        <v>57</v>
      </c>
      <c r="B7" s="10">
        <v>100000</v>
      </c>
      <c r="C7" s="10">
        <f t="shared" si="1"/>
        <v>30000</v>
      </c>
      <c r="D7" s="10">
        <f t="shared" si="0"/>
        <v>130000</v>
      </c>
    </row>
    <row r="8" spans="1:4" x14ac:dyDescent="0.2">
      <c r="A8" t="s">
        <v>58</v>
      </c>
      <c r="B8" s="10">
        <v>75000</v>
      </c>
      <c r="C8" s="10">
        <f t="shared" si="1"/>
        <v>22500</v>
      </c>
      <c r="D8" s="10">
        <f t="shared" si="0"/>
        <v>97500</v>
      </c>
    </row>
    <row r="9" spans="1:4" x14ac:dyDescent="0.2">
      <c r="A9" s="1" t="s">
        <v>59</v>
      </c>
      <c r="D9" s="12">
        <f>SUM(D2:D8)</f>
        <v>1313000</v>
      </c>
    </row>
    <row r="11" spans="1:4" x14ac:dyDescent="0.2">
      <c r="A11" t="s">
        <v>60</v>
      </c>
      <c r="B11" s="10">
        <v>9000</v>
      </c>
      <c r="D11" s="10">
        <f>B11+C11</f>
        <v>9000</v>
      </c>
    </row>
    <row r="12" spans="1:4" x14ac:dyDescent="0.2">
      <c r="A12" t="s">
        <v>61</v>
      </c>
      <c r="B12" s="10">
        <f>1200*5</f>
        <v>6000</v>
      </c>
      <c r="D12" s="10">
        <f>B12+C12</f>
        <v>6000</v>
      </c>
    </row>
    <row r="13" spans="1:4" x14ac:dyDescent="0.2">
      <c r="A13" t="s">
        <v>706</v>
      </c>
      <c r="B13" s="10">
        <v>5000</v>
      </c>
      <c r="D13" s="10">
        <f>B13+C13</f>
        <v>5000</v>
      </c>
    </row>
    <row r="14" spans="1:4" x14ac:dyDescent="0.2">
      <c r="A14" t="s">
        <v>46</v>
      </c>
      <c r="B14" s="10">
        <v>5000</v>
      </c>
      <c r="D14" s="10">
        <f>B14+C14</f>
        <v>5000</v>
      </c>
    </row>
    <row r="15" spans="1:4" x14ac:dyDescent="0.2">
      <c r="A15" s="1" t="s">
        <v>62</v>
      </c>
      <c r="B15"/>
      <c r="C15"/>
      <c r="D15" s="12">
        <f>SUM(D11:D14)</f>
        <v>25000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3"/>
  <sheetViews>
    <sheetView topLeftCell="A12" zoomScale="110" zoomScaleNormal="110" workbookViewId="0">
      <selection activeCell="C26" sqref="C26"/>
    </sheetView>
  </sheetViews>
  <sheetFormatPr defaultRowHeight="12.75" x14ac:dyDescent="0.2"/>
  <cols>
    <col min="1" max="1" width="22.85546875" customWidth="1"/>
    <col min="2" max="2" width="10.5703125" customWidth="1"/>
    <col min="3" max="3" width="11.140625" customWidth="1"/>
    <col min="4" max="4" width="9.42578125" customWidth="1"/>
    <col min="8" max="8" width="11.7109375" customWidth="1"/>
    <col min="9" max="9" width="15.5703125" customWidth="1"/>
    <col min="10" max="10" width="10.85546875" customWidth="1"/>
    <col min="11" max="11" width="12.5703125" customWidth="1"/>
    <col min="12" max="12" width="15.140625" customWidth="1"/>
    <col min="13" max="13" width="9.5703125" customWidth="1"/>
    <col min="14" max="14" width="16.140625" customWidth="1"/>
    <col min="15" max="15" width="19" customWidth="1"/>
  </cols>
  <sheetData>
    <row r="1" spans="1:15" ht="38.25" hidden="1" x14ac:dyDescent="0.2">
      <c r="A1" t="s">
        <v>64</v>
      </c>
      <c r="G1" s="2"/>
      <c r="I1" s="2"/>
      <c r="L1" s="14" t="s">
        <v>65</v>
      </c>
      <c r="M1" s="15"/>
      <c r="N1" s="2"/>
    </row>
    <row r="2" spans="1:15" hidden="1" x14ac:dyDescent="0.2">
      <c r="A2">
        <v>20</v>
      </c>
      <c r="B2" t="s">
        <v>66</v>
      </c>
      <c r="C2">
        <v>22</v>
      </c>
      <c r="D2" t="s">
        <v>67</v>
      </c>
      <c r="E2">
        <v>1</v>
      </c>
      <c r="F2" t="s">
        <v>68</v>
      </c>
      <c r="G2" s="2">
        <v>0.12</v>
      </c>
      <c r="H2" t="s">
        <v>69</v>
      </c>
      <c r="I2" s="2">
        <f>G2/C2*1000</f>
        <v>5.4545454545454541</v>
      </c>
      <c r="J2" t="s">
        <v>70</v>
      </c>
      <c r="L2" s="5">
        <v>120000</v>
      </c>
      <c r="M2" s="15" t="s">
        <v>67</v>
      </c>
      <c r="N2" s="2">
        <f>I2*L2/1000*24*365*0.9</f>
        <v>5160436.3636363633</v>
      </c>
      <c r="O2" t="s">
        <v>71</v>
      </c>
    </row>
    <row r="3" spans="1:15" hidden="1" x14ac:dyDescent="0.2">
      <c r="A3">
        <v>20</v>
      </c>
      <c r="B3" t="s">
        <v>66</v>
      </c>
      <c r="C3">
        <v>30</v>
      </c>
      <c r="D3" t="s">
        <v>67</v>
      </c>
      <c r="E3">
        <v>1</v>
      </c>
      <c r="F3" t="s">
        <v>68</v>
      </c>
      <c r="G3" s="2">
        <v>0.12</v>
      </c>
      <c r="H3" t="s">
        <v>69</v>
      </c>
      <c r="I3" s="2">
        <f>G3/C3*1000</f>
        <v>4</v>
      </c>
      <c r="J3" t="s">
        <v>70</v>
      </c>
      <c r="L3" s="5">
        <v>120000</v>
      </c>
      <c r="M3" s="15" t="s">
        <v>67</v>
      </c>
      <c r="N3" s="2">
        <f>I3*L3/1000*24*365*0.9</f>
        <v>3784320</v>
      </c>
      <c r="O3" t="s">
        <v>71</v>
      </c>
    </row>
    <row r="4" spans="1:15" ht="15.75" hidden="1" x14ac:dyDescent="0.3">
      <c r="A4">
        <v>20</v>
      </c>
      <c r="B4" t="s">
        <v>66</v>
      </c>
      <c r="C4">
        <v>1156.2</v>
      </c>
      <c r="D4" t="s">
        <v>72</v>
      </c>
      <c r="E4">
        <v>959.9</v>
      </c>
      <c r="F4" t="s">
        <v>72</v>
      </c>
      <c r="G4" s="16">
        <v>3.9673726999999999</v>
      </c>
      <c r="H4" t="s">
        <v>73</v>
      </c>
      <c r="I4" s="5">
        <f>L3*E4</f>
        <v>115188000</v>
      </c>
      <c r="J4" t="s">
        <v>74</v>
      </c>
      <c r="L4" s="17">
        <f>I4/L10</f>
        <v>33758.266801323043</v>
      </c>
      <c r="M4" t="s">
        <v>75</v>
      </c>
    </row>
    <row r="5" spans="1:15" ht="39.75" hidden="1" x14ac:dyDescent="0.3">
      <c r="A5" t="s">
        <v>64</v>
      </c>
      <c r="C5" t="s">
        <v>76</v>
      </c>
      <c r="E5" t="s">
        <v>77</v>
      </c>
      <c r="G5" t="s">
        <v>73</v>
      </c>
      <c r="I5" s="18" t="s">
        <v>78</v>
      </c>
      <c r="L5" s="18" t="s">
        <v>79</v>
      </c>
    </row>
    <row r="6" spans="1:15" hidden="1" x14ac:dyDescent="0.2">
      <c r="A6">
        <v>20</v>
      </c>
      <c r="B6" t="s">
        <v>66</v>
      </c>
      <c r="C6">
        <v>1156.2</v>
      </c>
      <c r="D6" t="s">
        <v>72</v>
      </c>
      <c r="E6">
        <v>959.9</v>
      </c>
      <c r="F6" t="s">
        <v>72</v>
      </c>
      <c r="G6" s="16">
        <v>3.9673726999999999</v>
      </c>
      <c r="H6" t="s">
        <v>73</v>
      </c>
      <c r="I6" s="5">
        <v>1250000</v>
      </c>
      <c r="J6" t="s">
        <v>80</v>
      </c>
      <c r="K6" s="8"/>
      <c r="L6" s="5">
        <f>I6*G6/E6</f>
        <v>5166.3880352120013</v>
      </c>
      <c r="M6" t="s">
        <v>67</v>
      </c>
      <c r="N6" s="2">
        <f>I7*L6/1000*24*365*0.9</f>
        <v>222.17347237969864</v>
      </c>
      <c r="O6" t="s">
        <v>81</v>
      </c>
    </row>
    <row r="7" spans="1:15" hidden="1" x14ac:dyDescent="0.2">
      <c r="A7">
        <v>20</v>
      </c>
      <c r="B7" t="s">
        <v>66</v>
      </c>
      <c r="C7">
        <v>22</v>
      </c>
      <c r="D7" t="s">
        <v>67</v>
      </c>
      <c r="E7">
        <v>1</v>
      </c>
      <c r="F7" t="s">
        <v>68</v>
      </c>
      <c r="G7" s="2">
        <v>0.12</v>
      </c>
      <c r="H7" t="s">
        <v>69</v>
      </c>
      <c r="I7" s="19">
        <f>G7/C7</f>
        <v>5.4545454545454541E-3</v>
      </c>
      <c r="J7" t="s">
        <v>82</v>
      </c>
      <c r="L7" s="5"/>
      <c r="M7" s="15"/>
      <c r="N7" s="2"/>
    </row>
    <row r="8" spans="1:15" hidden="1" x14ac:dyDescent="0.2"/>
    <row r="9" spans="1:15" hidden="1" x14ac:dyDescent="0.2">
      <c r="A9" t="s">
        <v>83</v>
      </c>
      <c r="L9" t="s">
        <v>84</v>
      </c>
    </row>
    <row r="10" spans="1:15" ht="15.75" hidden="1" x14ac:dyDescent="0.3">
      <c r="A10">
        <v>20</v>
      </c>
      <c r="B10" t="s">
        <v>66</v>
      </c>
      <c r="C10">
        <v>22</v>
      </c>
      <c r="D10" t="s">
        <v>67</v>
      </c>
      <c r="E10">
        <v>1</v>
      </c>
      <c r="F10" t="s">
        <v>68</v>
      </c>
      <c r="G10" s="2">
        <v>0.12</v>
      </c>
      <c r="H10" t="s">
        <v>69</v>
      </c>
      <c r="I10" s="2">
        <f>G10/C10*1000</f>
        <v>5.4545454545454541</v>
      </c>
      <c r="J10" t="s">
        <v>85</v>
      </c>
      <c r="L10" s="8">
        <v>3412.1419999999998</v>
      </c>
      <c r="M10" t="s">
        <v>86</v>
      </c>
    </row>
    <row r="11" spans="1:15" ht="15.75" hidden="1" x14ac:dyDescent="0.3">
      <c r="A11">
        <v>20</v>
      </c>
      <c r="B11" t="s">
        <v>66</v>
      </c>
      <c r="C11">
        <v>1156.2</v>
      </c>
      <c r="D11" t="s">
        <v>72</v>
      </c>
      <c r="E11">
        <v>959.9</v>
      </c>
      <c r="F11" t="s">
        <v>72</v>
      </c>
      <c r="I11" s="20">
        <f>I10/E11/1000</f>
        <v>5.6824100995368837E-6</v>
      </c>
      <c r="J11" t="s">
        <v>87</v>
      </c>
      <c r="L11" s="19">
        <f>I11*L10</f>
        <v>1.9389190161853979E-2</v>
      </c>
      <c r="M11" t="s">
        <v>88</v>
      </c>
    </row>
    <row r="13" spans="1:15" ht="18" x14ac:dyDescent="0.35">
      <c r="A13" t="s">
        <v>89</v>
      </c>
      <c r="B13" t="s">
        <v>90</v>
      </c>
      <c r="C13" t="s">
        <v>91</v>
      </c>
      <c r="D13" t="s">
        <v>92</v>
      </c>
      <c r="E13" t="s">
        <v>93</v>
      </c>
      <c r="F13" t="s">
        <v>94</v>
      </c>
      <c r="G13" t="s">
        <v>95</v>
      </c>
    </row>
    <row r="14" spans="1:15" x14ac:dyDescent="0.2">
      <c r="A14" t="s">
        <v>96</v>
      </c>
      <c r="B14" s="21">
        <v>255</v>
      </c>
      <c r="C14" s="22">
        <f>B14+14.71</f>
        <v>269.70999999999998</v>
      </c>
      <c r="D14" s="22">
        <v>402.72</v>
      </c>
      <c r="E14">
        <v>823.8</v>
      </c>
      <c r="F14">
        <v>377.99</v>
      </c>
      <c r="G14">
        <v>1201.8</v>
      </c>
    </row>
    <row r="15" spans="1:15" x14ac:dyDescent="0.2">
      <c r="A15" t="s">
        <v>97</v>
      </c>
      <c r="B15" s="21">
        <v>135</v>
      </c>
      <c r="C15" s="22">
        <f>B15+14.71</f>
        <v>149.71</v>
      </c>
      <c r="D15" s="22">
        <v>355.6</v>
      </c>
      <c r="E15">
        <v>866.3</v>
      </c>
      <c r="F15">
        <v>327.63</v>
      </c>
      <c r="G15">
        <v>1193.9000000000001</v>
      </c>
    </row>
    <row r="16" spans="1:15" ht="14.25" x14ac:dyDescent="0.2">
      <c r="A16" t="s">
        <v>98</v>
      </c>
      <c r="B16" s="21">
        <v>15.661</v>
      </c>
      <c r="C16" s="22">
        <f>B16+14.71</f>
        <v>30.371000000000002</v>
      </c>
      <c r="D16">
        <v>251</v>
      </c>
      <c r="E16">
        <v>944.7</v>
      </c>
      <c r="F16">
        <v>219.65</v>
      </c>
      <c r="G16">
        <v>1164.4000000000001</v>
      </c>
    </row>
    <row r="17" spans="1:11" ht="14.25" x14ac:dyDescent="0.2">
      <c r="A17" t="s">
        <v>99</v>
      </c>
      <c r="B17" s="21">
        <v>7.28</v>
      </c>
      <c r="C17" s="22">
        <f>B17+14.71</f>
        <v>21.990000000000002</v>
      </c>
      <c r="D17">
        <v>233</v>
      </c>
      <c r="E17">
        <v>956.6</v>
      </c>
      <c r="F17">
        <v>201.41</v>
      </c>
      <c r="G17">
        <v>1158</v>
      </c>
    </row>
    <row r="18" spans="1:11" ht="14.25" x14ac:dyDescent="0.2">
      <c r="A18" t="s">
        <v>100</v>
      </c>
      <c r="B18" s="21">
        <v>0</v>
      </c>
      <c r="C18" s="22">
        <f>B18+14.71</f>
        <v>14.71</v>
      </c>
      <c r="D18">
        <v>212</v>
      </c>
      <c r="E18">
        <v>970.1</v>
      </c>
      <c r="F18">
        <v>180.21</v>
      </c>
      <c r="G18">
        <v>1150.3</v>
      </c>
    </row>
    <row r="20" spans="1:11" ht="15.75" x14ac:dyDescent="0.3">
      <c r="A20" t="s">
        <v>101</v>
      </c>
      <c r="J20" s="23">
        <v>2.9307106999999999E-4</v>
      </c>
      <c r="K20" t="s">
        <v>102</v>
      </c>
    </row>
    <row r="21" spans="1:11" ht="15.75" x14ac:dyDescent="0.3">
      <c r="A21">
        <v>255</v>
      </c>
      <c r="B21" t="s">
        <v>66</v>
      </c>
      <c r="C21">
        <v>1201.8</v>
      </c>
      <c r="D21" t="s">
        <v>72</v>
      </c>
      <c r="F21" s="24">
        <v>4.4999999999999997E-3</v>
      </c>
      <c r="G21" t="s">
        <v>82</v>
      </c>
      <c r="H21" s="25">
        <f>F21/C21</f>
        <v>3.7443834248627057E-6</v>
      </c>
      <c r="I21" t="s">
        <v>87</v>
      </c>
      <c r="J21" s="26">
        <f>H21/J20</f>
        <v>1.2776366581876218E-2</v>
      </c>
      <c r="K21" t="s">
        <v>88</v>
      </c>
    </row>
    <row r="22" spans="1:11" x14ac:dyDescent="0.2">
      <c r="F22" s="19"/>
      <c r="J22" s="17"/>
    </row>
    <row r="23" spans="1:11" ht="15.75" x14ac:dyDescent="0.3">
      <c r="A23" t="s">
        <v>103</v>
      </c>
      <c r="F23" s="27">
        <v>8.5000000000000006E-2</v>
      </c>
      <c r="G23" t="s">
        <v>104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D60"/>
  <sheetViews>
    <sheetView topLeftCell="A39" zoomScale="110" zoomScaleNormal="110" workbookViewId="0">
      <selection activeCell="G6" sqref="G6"/>
    </sheetView>
  </sheetViews>
  <sheetFormatPr defaultColWidth="11.5703125" defaultRowHeight="12.75" x14ac:dyDescent="0.2"/>
  <cols>
    <col min="1" max="1" width="29.85546875" customWidth="1"/>
    <col min="2" max="2" width="15" hidden="1" customWidth="1"/>
    <col min="3" max="3" width="17.42578125" customWidth="1"/>
    <col min="5" max="5" width="12.42578125" customWidth="1"/>
  </cols>
  <sheetData>
    <row r="1" spans="1:4" x14ac:dyDescent="0.2">
      <c r="A1" s="1" t="s">
        <v>0</v>
      </c>
      <c r="B1" s="1" t="s">
        <v>105</v>
      </c>
      <c r="C1" s="1" t="s">
        <v>106</v>
      </c>
      <c r="D1" s="1" t="s">
        <v>107</v>
      </c>
    </row>
    <row r="2" spans="1:4" x14ac:dyDescent="0.2">
      <c r="A2" s="1" t="s">
        <v>108</v>
      </c>
      <c r="B2" s="1"/>
      <c r="C2" s="28">
        <f>SUM(C3,C8,C9,C14)</f>
        <v>2185910</v>
      </c>
    </row>
    <row r="3" spans="1:4" x14ac:dyDescent="0.2">
      <c r="A3" s="6" t="s">
        <v>109</v>
      </c>
      <c r="B3" s="29">
        <f>'5MGD 15 Effect VTE Capital Cost'!B33</f>
        <v>25369589.325787447</v>
      </c>
      <c r="C3" s="30">
        <v>1400000</v>
      </c>
      <c r="D3" t="s">
        <v>110</v>
      </c>
    </row>
    <row r="4" spans="1:4" x14ac:dyDescent="0.2">
      <c r="A4" t="s">
        <v>111</v>
      </c>
      <c r="C4">
        <v>30</v>
      </c>
      <c r="D4" t="s">
        <v>112</v>
      </c>
    </row>
    <row r="5" spans="1:4" x14ac:dyDescent="0.2">
      <c r="A5" t="s">
        <v>113</v>
      </c>
      <c r="C5" s="31">
        <v>0.06</v>
      </c>
      <c r="D5" t="s">
        <v>114</v>
      </c>
    </row>
    <row r="6" spans="1:4" x14ac:dyDescent="0.2">
      <c r="A6" t="s">
        <v>115</v>
      </c>
      <c r="C6" s="30">
        <f>C4*12*($C5/12*$C3)/(1-POWER($C5/12+1,-$C4*12))</f>
        <v>3021734.646769905</v>
      </c>
    </row>
    <row r="7" spans="1:4" x14ac:dyDescent="0.2">
      <c r="A7" s="1" t="s">
        <v>116</v>
      </c>
      <c r="B7" s="1"/>
      <c r="C7" s="12">
        <f>C6/C4</f>
        <v>100724.4882256635</v>
      </c>
    </row>
    <row r="8" spans="1:4" x14ac:dyDescent="0.2">
      <c r="A8" s="6" t="s">
        <v>117</v>
      </c>
      <c r="B8" s="1"/>
      <c r="C8" s="30">
        <v>2790</v>
      </c>
      <c r="D8" t="s">
        <v>118</v>
      </c>
    </row>
    <row r="9" spans="1:4" x14ac:dyDescent="0.2">
      <c r="A9" s="6" t="s">
        <v>119</v>
      </c>
      <c r="B9" s="1"/>
      <c r="C9" s="30">
        <f>80800+2320</f>
        <v>83120</v>
      </c>
      <c r="D9" t="s">
        <v>118</v>
      </c>
    </row>
    <row r="10" spans="1:4" x14ac:dyDescent="0.2">
      <c r="A10" t="s">
        <v>111</v>
      </c>
      <c r="B10" s="1"/>
      <c r="C10">
        <v>15</v>
      </c>
      <c r="D10" t="s">
        <v>112</v>
      </c>
    </row>
    <row r="11" spans="1:4" x14ac:dyDescent="0.2">
      <c r="A11" t="s">
        <v>113</v>
      </c>
      <c r="B11" s="1"/>
      <c r="C11" s="31">
        <v>0.06</v>
      </c>
      <c r="D11" t="s">
        <v>114</v>
      </c>
    </row>
    <row r="12" spans="1:4" x14ac:dyDescent="0.2">
      <c r="A12" t="s">
        <v>120</v>
      </c>
      <c r="B12" s="1"/>
      <c r="C12" s="30">
        <f>C10*12*($C11/12*($C8+$C9))/(1-POWER($C11/12+1,-$C10*12))</f>
        <v>130492.33217575886</v>
      </c>
    </row>
    <row r="13" spans="1:4" x14ac:dyDescent="0.2">
      <c r="A13" s="1" t="s">
        <v>116</v>
      </c>
      <c r="B13" s="1"/>
      <c r="C13" s="12">
        <f>C12/C10</f>
        <v>8699.4888117172577</v>
      </c>
    </row>
    <row r="14" spans="1:4" x14ac:dyDescent="0.2">
      <c r="A14" s="6" t="s">
        <v>121</v>
      </c>
      <c r="B14" s="1"/>
      <c r="C14" s="30">
        <f>700000</f>
        <v>700000</v>
      </c>
      <c r="D14" t="s">
        <v>110</v>
      </c>
    </row>
    <row r="15" spans="1:4" x14ac:dyDescent="0.2">
      <c r="A15" t="s">
        <v>111</v>
      </c>
      <c r="C15">
        <v>15</v>
      </c>
      <c r="D15" t="s">
        <v>112</v>
      </c>
    </row>
    <row r="16" spans="1:4" x14ac:dyDescent="0.2">
      <c r="A16" t="s">
        <v>113</v>
      </c>
      <c r="C16" s="31">
        <v>0.06</v>
      </c>
      <c r="D16" t="s">
        <v>114</v>
      </c>
    </row>
    <row r="17" spans="1:4" x14ac:dyDescent="0.2">
      <c r="A17" t="s">
        <v>115</v>
      </c>
      <c r="C17" s="30">
        <f>C15*12*($C16/12*$C$14)/(1-POWER($C$16/12+1,-$C$15*12))</f>
        <v>1063259.6033410686</v>
      </c>
    </row>
    <row r="18" spans="1:4" x14ac:dyDescent="0.2">
      <c r="A18" s="1" t="s">
        <v>116</v>
      </c>
      <c r="B18" s="1"/>
      <c r="C18" s="12">
        <f>C17/C15</f>
        <v>70883.973556071243</v>
      </c>
    </row>
    <row r="19" spans="1:4" x14ac:dyDescent="0.2">
      <c r="A19" t="s">
        <v>122</v>
      </c>
      <c r="C19" s="32">
        <v>250</v>
      </c>
      <c r="D19" t="s">
        <v>123</v>
      </c>
    </row>
    <row r="20" spans="1:4" x14ac:dyDescent="0.2">
      <c r="A20" t="s">
        <v>124</v>
      </c>
      <c r="B20" s="5">
        <v>310000</v>
      </c>
      <c r="C20" s="32"/>
    </row>
    <row r="21" spans="1:4" x14ac:dyDescent="0.2">
      <c r="A21" s="6" t="s">
        <v>125</v>
      </c>
      <c r="B21" s="32">
        <f>'5MGD 15 Effect Levellized VTE'!B8+'5MGD 15 Effect Levellized VTE'!B10</f>
        <v>5830564.7840531562</v>
      </c>
      <c r="C21" s="28"/>
    </row>
    <row r="22" spans="1:4" x14ac:dyDescent="0.2">
      <c r="A22" t="s">
        <v>126</v>
      </c>
      <c r="C22" s="33">
        <v>0.15</v>
      </c>
      <c r="D22" t="s">
        <v>736</v>
      </c>
    </row>
    <row r="23" spans="1:4" x14ac:dyDescent="0.2">
      <c r="A23" t="s">
        <v>127</v>
      </c>
      <c r="B23">
        <v>264.17200000000003</v>
      </c>
      <c r="C23" s="32">
        <f>B23*C19*(1-C22)/C22</f>
        <v>374243.66666666663</v>
      </c>
      <c r="D23" t="s">
        <v>128</v>
      </c>
    </row>
    <row r="24" spans="1:4" x14ac:dyDescent="0.2">
      <c r="A24" t="s">
        <v>129</v>
      </c>
      <c r="C24" s="33">
        <v>0.75</v>
      </c>
    </row>
    <row r="25" spans="1:4" x14ac:dyDescent="0.2">
      <c r="A25" t="s">
        <v>130</v>
      </c>
      <c r="C25" s="4">
        <v>0.95</v>
      </c>
    </row>
    <row r="26" spans="1:4" x14ac:dyDescent="0.2">
      <c r="A26" s="6" t="s">
        <v>131</v>
      </c>
      <c r="B26" s="6"/>
      <c r="C26" s="2">
        <f>C14/C19</f>
        <v>2800</v>
      </c>
      <c r="D26" t="s">
        <v>132</v>
      </c>
    </row>
    <row r="27" spans="1:4" x14ac:dyDescent="0.2">
      <c r="A27" s="6"/>
      <c r="B27" s="6"/>
      <c r="C27" s="2"/>
    </row>
    <row r="28" spans="1:4" x14ac:dyDescent="0.2">
      <c r="A28" s="1" t="s">
        <v>133</v>
      </c>
      <c r="B28" s="1"/>
      <c r="C28" s="2"/>
    </row>
    <row r="29" spans="1:4" x14ac:dyDescent="0.2">
      <c r="A29" t="s">
        <v>134</v>
      </c>
      <c r="B29" s="34">
        <v>7.9000000000000008E-3</v>
      </c>
      <c r="C29" s="35">
        <f>0.12*C3</f>
        <v>168000</v>
      </c>
      <c r="D29" t="s">
        <v>114</v>
      </c>
    </row>
    <row r="30" spans="1:4" x14ac:dyDescent="0.2">
      <c r="A30" t="s">
        <v>135</v>
      </c>
      <c r="B30" s="34">
        <v>2.2800000000000001E-2</v>
      </c>
      <c r="C30" s="35">
        <f>0.12*(C8+C9)</f>
        <v>10309.199999999999</v>
      </c>
      <c r="D30" t="s">
        <v>114</v>
      </c>
    </row>
    <row r="31" spans="1:4" x14ac:dyDescent="0.2">
      <c r="A31" t="s">
        <v>136</v>
      </c>
      <c r="B31" s="34">
        <v>4.7500000000000001E-2</v>
      </c>
      <c r="C31" s="35">
        <f>0.12*C14</f>
        <v>84000</v>
      </c>
      <c r="D31" t="s">
        <v>114</v>
      </c>
    </row>
    <row r="32" spans="1:4" x14ac:dyDescent="0.2">
      <c r="A32" s="1" t="s">
        <v>137</v>
      </c>
      <c r="B32" s="36">
        <f>SUM(B29:B31)</f>
        <v>7.8200000000000006E-2</v>
      </c>
      <c r="C32" s="35">
        <f>SUM(C29:C31)</f>
        <v>262309.2</v>
      </c>
      <c r="D32" t="s">
        <v>114</v>
      </c>
    </row>
    <row r="33" spans="1:4" x14ac:dyDescent="0.2">
      <c r="A33" t="s">
        <v>138</v>
      </c>
      <c r="C33" s="35">
        <f>35*50000</f>
        <v>1750000</v>
      </c>
      <c r="D33" t="s">
        <v>114</v>
      </c>
    </row>
    <row r="34" spans="1:4" x14ac:dyDescent="0.2">
      <c r="A34" t="s">
        <v>139</v>
      </c>
      <c r="C34" s="35">
        <f>10*C19*C25*365</f>
        <v>866875</v>
      </c>
      <c r="D34" t="s">
        <v>114</v>
      </c>
    </row>
    <row r="35" spans="1:4" x14ac:dyDescent="0.2">
      <c r="A35" s="1" t="s">
        <v>140</v>
      </c>
      <c r="B35" s="1"/>
      <c r="C35" s="12">
        <f>SUM(C$41,C$46,C$32:C$34)</f>
        <v>3604613.0585757503</v>
      </c>
    </row>
    <row r="36" spans="1:4" x14ac:dyDescent="0.2">
      <c r="A36" s="1"/>
      <c r="B36" s="1"/>
      <c r="C36" s="12"/>
    </row>
    <row r="37" spans="1:4" x14ac:dyDescent="0.2">
      <c r="A37" s="1" t="s">
        <v>141</v>
      </c>
      <c r="B37" s="1"/>
      <c r="C37" s="12"/>
    </row>
    <row r="38" spans="1:4" ht="15.75" x14ac:dyDescent="0.3">
      <c r="A38" t="s">
        <v>142</v>
      </c>
      <c r="B38" s="32">
        <f>'Energy Cost Rates'!L4/15</f>
        <v>2250.5511200882029</v>
      </c>
      <c r="C38" s="15">
        <f>B38*24</f>
        <v>54013.226882116869</v>
      </c>
      <c r="D38" s="6" t="s">
        <v>143</v>
      </c>
    </row>
    <row r="39" spans="1:4" ht="15.75" x14ac:dyDescent="0.3">
      <c r="A39" t="s">
        <v>144</v>
      </c>
      <c r="B39" s="32">
        <f>'Energy Cost Rates'!I6</f>
        <v>1250000</v>
      </c>
      <c r="C39" s="15">
        <f>B39*0.001163*24</f>
        <v>34890</v>
      </c>
      <c r="D39" t="s">
        <v>143</v>
      </c>
    </row>
    <row r="40" spans="1:4" ht="15.75" x14ac:dyDescent="0.3">
      <c r="A40" t="s">
        <v>145</v>
      </c>
      <c r="B40" s="1"/>
      <c r="C40" s="37">
        <f>'Energy Cost Rates'!J21</f>
        <v>1.2776366581876218E-2</v>
      </c>
      <c r="D40" t="s">
        <v>88</v>
      </c>
    </row>
    <row r="41" spans="1:4" x14ac:dyDescent="0.2">
      <c r="A41" t="s">
        <v>146</v>
      </c>
      <c r="B41" s="1"/>
      <c r="C41" s="35">
        <f>(C38+C39)*C40*365*C25</f>
        <v>393859.5302300608</v>
      </c>
      <c r="D41" t="s">
        <v>114</v>
      </c>
    </row>
    <row r="42" spans="1:4" ht="15.75" x14ac:dyDescent="0.3">
      <c r="A42" t="s">
        <v>147</v>
      </c>
      <c r="B42" s="32">
        <f>'5MGD 15 Effect Levellized VTE'!B15/10</f>
        <v>1529.64852947756</v>
      </c>
      <c r="C42" s="15">
        <f>B42</f>
        <v>1529.64852947756</v>
      </c>
      <c r="D42" t="s">
        <v>148</v>
      </c>
    </row>
    <row r="43" spans="1:4" ht="15.75" x14ac:dyDescent="0.3">
      <c r="A43" t="s">
        <v>149</v>
      </c>
      <c r="B43" s="6">
        <v>85</v>
      </c>
      <c r="C43" s="15">
        <f>B43*24</f>
        <v>2040</v>
      </c>
      <c r="D43" t="s">
        <v>148</v>
      </c>
    </row>
    <row r="44" spans="1:4" ht="15.75" x14ac:dyDescent="0.3">
      <c r="A44" t="s">
        <v>150</v>
      </c>
      <c r="B44" s="6">
        <v>320</v>
      </c>
      <c r="C44" s="15">
        <f>B44*24</f>
        <v>7680</v>
      </c>
      <c r="D44" t="s">
        <v>148</v>
      </c>
    </row>
    <row r="45" spans="1:4" ht="15.75" x14ac:dyDescent="0.3">
      <c r="A45" t="s">
        <v>151</v>
      </c>
      <c r="C45" s="38">
        <f>'Energy Cost Rates'!F23</f>
        <v>8.5000000000000006E-2</v>
      </c>
      <c r="D45" t="s">
        <v>152</v>
      </c>
    </row>
    <row r="46" spans="1:4" x14ac:dyDescent="0.2">
      <c r="A46" t="s">
        <v>153</v>
      </c>
      <c r="C46" s="35">
        <f>(C42+C43+C44)*C45*365*C25</f>
        <v>331569.32834568922</v>
      </c>
      <c r="D46" t="s">
        <v>114</v>
      </c>
    </row>
    <row r="47" spans="1:4" x14ac:dyDescent="0.2">
      <c r="A47" s="1" t="s">
        <v>154</v>
      </c>
      <c r="C47" s="12">
        <f>SUM(C41,C46)</f>
        <v>725428.85857575003</v>
      </c>
    </row>
    <row r="48" spans="1:4" x14ac:dyDescent="0.2">
      <c r="A48" s="1"/>
      <c r="B48" s="1"/>
      <c r="C48" s="12"/>
    </row>
    <row r="49" spans="1:4" x14ac:dyDescent="0.2">
      <c r="A49" s="1" t="s">
        <v>155</v>
      </c>
      <c r="B49" s="1"/>
      <c r="C49" s="12">
        <f>SUM(C$7,C$13,C$18,C$35,C$47)</f>
        <v>4510349.8677449524</v>
      </c>
    </row>
    <row r="50" spans="1:4" x14ac:dyDescent="0.2">
      <c r="A50" s="1" t="s">
        <v>156</v>
      </c>
      <c r="B50" s="1"/>
      <c r="C50" s="12">
        <f>C49/(C19*365*C25)</f>
        <v>52.029991264541628</v>
      </c>
      <c r="D50" t="s">
        <v>157</v>
      </c>
    </row>
    <row r="51" spans="1:4" x14ac:dyDescent="0.2">
      <c r="A51" s="1" t="s">
        <v>737</v>
      </c>
      <c r="B51" s="1"/>
      <c r="C51" s="12">
        <v>182</v>
      </c>
      <c r="D51" t="s">
        <v>157</v>
      </c>
    </row>
    <row r="52" spans="1:4" x14ac:dyDescent="0.2">
      <c r="A52" t="s">
        <v>158</v>
      </c>
      <c r="C52" s="10">
        <f>C51-C50</f>
        <v>129.97000873545838</v>
      </c>
      <c r="D52" t="s">
        <v>157</v>
      </c>
    </row>
    <row r="53" spans="1:4" x14ac:dyDescent="0.2">
      <c r="A53" t="s">
        <v>159</v>
      </c>
      <c r="C53" s="5">
        <f>C19*C25*365</f>
        <v>86687.5</v>
      </c>
      <c r="D53" t="s">
        <v>160</v>
      </c>
    </row>
    <row r="54" spans="1:4" x14ac:dyDescent="0.2">
      <c r="A54" t="s">
        <v>161</v>
      </c>
      <c r="C54" s="10">
        <f>C52*C19*C25*365</f>
        <v>11266775.132255048</v>
      </c>
    </row>
    <row r="55" spans="1:4" x14ac:dyDescent="0.2">
      <c r="C55" s="10"/>
    </row>
    <row r="56" spans="1:4" x14ac:dyDescent="0.2">
      <c r="A56" t="s">
        <v>162</v>
      </c>
      <c r="C56" s="5">
        <v>15747</v>
      </c>
      <c r="D56" t="s">
        <v>123</v>
      </c>
    </row>
    <row r="57" spans="1:4" x14ac:dyDescent="0.2">
      <c r="A57" t="s">
        <v>63</v>
      </c>
      <c r="C57" s="5">
        <f>C56/C19</f>
        <v>62.988</v>
      </c>
    </row>
    <row r="59" spans="1:4" ht="15.75" x14ac:dyDescent="0.3">
      <c r="A59" t="s">
        <v>163</v>
      </c>
      <c r="C59" s="8">
        <f>SUM(C42:C44)/C19</f>
        <v>44.998594117910237</v>
      </c>
      <c r="D59" t="s">
        <v>164</v>
      </c>
    </row>
    <row r="60" spans="1:4" ht="15.75" x14ac:dyDescent="0.3">
      <c r="A60" t="s">
        <v>165</v>
      </c>
      <c r="C60" s="8">
        <f>SUM(C38:C39)/C19</f>
        <v>355.61290752846747</v>
      </c>
      <c r="D60" s="6" t="s">
        <v>166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scale="7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45"/>
  <sheetViews>
    <sheetView topLeftCell="A23" zoomScale="110" zoomScaleNormal="110" workbookViewId="0">
      <selection activeCell="C40" sqref="C40"/>
    </sheetView>
  </sheetViews>
  <sheetFormatPr defaultColWidth="11.5703125" defaultRowHeight="12.75" x14ac:dyDescent="0.2"/>
  <cols>
    <col min="1" max="1" width="23.140625" customWidth="1"/>
    <col min="2" max="2" width="11.5703125" customWidth="1"/>
    <col min="3" max="3" width="13.140625" customWidth="1"/>
    <col min="5" max="5" width="12.42578125" customWidth="1"/>
    <col min="6" max="6" width="16.42578125" customWidth="1"/>
    <col min="8" max="8" width="12.42578125" customWidth="1"/>
    <col min="9" max="9" width="13.42578125" customWidth="1"/>
  </cols>
  <sheetData>
    <row r="1" spans="1:10" hidden="1" x14ac:dyDescent="0.2">
      <c r="A1" s="1" t="s">
        <v>0</v>
      </c>
      <c r="B1" s="1" t="s">
        <v>105</v>
      </c>
      <c r="C1" s="1" t="s">
        <v>106</v>
      </c>
      <c r="D1" s="1" t="s">
        <v>107</v>
      </c>
    </row>
    <row r="2" spans="1:10" hidden="1" x14ac:dyDescent="0.2">
      <c r="A2" s="1"/>
      <c r="B2" s="1"/>
      <c r="C2" s="1"/>
    </row>
    <row r="3" spans="1:10" ht="38.25" x14ac:dyDescent="0.2">
      <c r="A3" s="1" t="s">
        <v>167</v>
      </c>
      <c r="B3" s="1"/>
      <c r="C3" s="39" t="s">
        <v>168</v>
      </c>
      <c r="E3" s="39" t="s">
        <v>831</v>
      </c>
      <c r="F3" s="39" t="s">
        <v>832</v>
      </c>
      <c r="H3" s="39" t="s">
        <v>654</v>
      </c>
      <c r="I3" s="39" t="s">
        <v>655</v>
      </c>
    </row>
    <row r="4" spans="1:10" x14ac:dyDescent="0.2">
      <c r="A4" s="1" t="s">
        <v>169</v>
      </c>
      <c r="B4" s="1"/>
      <c r="C4" s="30">
        <v>16500000</v>
      </c>
      <c r="D4" t="s">
        <v>170</v>
      </c>
      <c r="E4" s="8">
        <v>4</v>
      </c>
      <c r="F4" s="30">
        <f>C4*E4</f>
        <v>66000000</v>
      </c>
      <c r="G4" t="s">
        <v>170</v>
      </c>
      <c r="H4" s="8">
        <f>(1)*1000000/$C$9</f>
        <v>0.15832484712152761</v>
      </c>
      <c r="I4" s="30">
        <f>C4*H4</f>
        <v>2612359.9775052057</v>
      </c>
      <c r="J4" t="s">
        <v>170</v>
      </c>
    </row>
    <row r="5" spans="1:10" x14ac:dyDescent="0.2">
      <c r="A5" t="s">
        <v>111</v>
      </c>
      <c r="C5">
        <v>30</v>
      </c>
      <c r="D5" t="s">
        <v>112</v>
      </c>
      <c r="F5">
        <v>30</v>
      </c>
      <c r="G5" t="s">
        <v>112</v>
      </c>
      <c r="I5">
        <v>30</v>
      </c>
      <c r="J5" t="s">
        <v>112</v>
      </c>
    </row>
    <row r="6" spans="1:10" x14ac:dyDescent="0.2">
      <c r="A6" t="s">
        <v>113</v>
      </c>
      <c r="C6" s="31">
        <v>0.06</v>
      </c>
      <c r="D6" t="s">
        <v>114</v>
      </c>
      <c r="F6" s="31">
        <v>0.06</v>
      </c>
      <c r="G6" t="s">
        <v>114</v>
      </c>
      <c r="I6" s="31">
        <v>0.06</v>
      </c>
      <c r="J6" t="s">
        <v>114</v>
      </c>
    </row>
    <row r="7" spans="1:10" x14ac:dyDescent="0.2">
      <c r="A7" t="s">
        <v>115</v>
      </c>
      <c r="C7" s="30">
        <f>C5*12*($C6/12*$C$4)/(1-POWER($C$6/12+1,-$C$5*12))</f>
        <v>35613301.194073878</v>
      </c>
      <c r="E7" s="8"/>
      <c r="F7" s="30">
        <f>F5*12*(F6/12*$F$4)/(1-POWER(F$6/12+1,-F$5*12))</f>
        <v>142453204.77629551</v>
      </c>
      <c r="H7" s="8"/>
      <c r="I7" s="30">
        <f>I5*12*(I6/12*$I$4)/(1-POWER(I$6/12+1,-I$5*12))</f>
        <v>5638470.4670446645</v>
      </c>
    </row>
    <row r="8" spans="1:10" x14ac:dyDescent="0.2">
      <c r="A8" s="1" t="s">
        <v>116</v>
      </c>
      <c r="B8" s="1"/>
      <c r="C8" s="12">
        <f>C7/C5</f>
        <v>1187110.0398024626</v>
      </c>
      <c r="F8" s="12">
        <f>F7/F5</f>
        <v>4748440.1592098502</v>
      </c>
      <c r="I8" s="12">
        <f>I7/I5</f>
        <v>187949.01556815548</v>
      </c>
    </row>
    <row r="9" spans="1:10" x14ac:dyDescent="0.2">
      <c r="A9" t="s">
        <v>171</v>
      </c>
      <c r="C9" s="32">
        <v>6316128</v>
      </c>
      <c r="D9" t="s">
        <v>128</v>
      </c>
      <c r="E9" s="8">
        <v>4</v>
      </c>
      <c r="F9" s="32">
        <f>C9*E9</f>
        <v>25264512</v>
      </c>
      <c r="G9" t="s">
        <v>128</v>
      </c>
      <c r="H9" s="8">
        <f>(1)*1000000/$C$9</f>
        <v>0.15832484712152761</v>
      </c>
      <c r="I9" s="32">
        <f>C9*H9</f>
        <v>1000000</v>
      </c>
      <c r="J9" t="s">
        <v>128</v>
      </c>
    </row>
    <row r="10" spans="1:10" x14ac:dyDescent="0.2">
      <c r="A10" t="s">
        <v>172</v>
      </c>
      <c r="C10" s="32">
        <f>C9/C12</f>
        <v>8421504</v>
      </c>
      <c r="D10" t="s">
        <v>128</v>
      </c>
      <c r="F10" s="32">
        <f>F9/F12</f>
        <v>33686016</v>
      </c>
      <c r="G10" t="s">
        <v>128</v>
      </c>
      <c r="I10" s="32">
        <f>I9/I12</f>
        <v>1333333.3333333333</v>
      </c>
      <c r="J10" t="s">
        <v>128</v>
      </c>
    </row>
    <row r="11" spans="1:10" x14ac:dyDescent="0.2">
      <c r="A11" t="s">
        <v>704</v>
      </c>
      <c r="C11" s="32">
        <f xml:space="preserve"> C10-C9</f>
        <v>2105376</v>
      </c>
      <c r="D11" t="s">
        <v>128</v>
      </c>
      <c r="F11" s="32">
        <f xml:space="preserve"> F10-F9</f>
        <v>8421504</v>
      </c>
      <c r="G11" t="s">
        <v>128</v>
      </c>
      <c r="I11" s="32">
        <f xml:space="preserve"> I10-I9</f>
        <v>333333.33333333326</v>
      </c>
      <c r="J11" t="s">
        <v>128</v>
      </c>
    </row>
    <row r="12" spans="1:10" x14ac:dyDescent="0.2">
      <c r="A12" t="s">
        <v>173</v>
      </c>
      <c r="C12" s="33">
        <v>0.75</v>
      </c>
      <c r="F12" s="33">
        <v>0.75</v>
      </c>
      <c r="I12" s="33">
        <v>0.75</v>
      </c>
    </row>
    <row r="13" spans="1:10" x14ac:dyDescent="0.2">
      <c r="A13" t="s">
        <v>130</v>
      </c>
      <c r="C13" s="4">
        <v>0.95</v>
      </c>
      <c r="F13" s="4">
        <v>0.95</v>
      </c>
      <c r="I13" s="4">
        <v>0.95</v>
      </c>
    </row>
    <row r="14" spans="1:10" x14ac:dyDescent="0.2">
      <c r="A14" s="6" t="s">
        <v>131</v>
      </c>
      <c r="B14" s="6"/>
      <c r="C14" s="2">
        <f>C4/C9</f>
        <v>2.6123599775052058</v>
      </c>
      <c r="D14" t="s">
        <v>174</v>
      </c>
      <c r="F14" s="2">
        <f>F4/F9</f>
        <v>2.6123599775052058</v>
      </c>
      <c r="G14" t="s">
        <v>174</v>
      </c>
      <c r="I14" s="2">
        <f>I4/I9</f>
        <v>2.6123599775052058</v>
      </c>
      <c r="J14" t="s">
        <v>174</v>
      </c>
    </row>
    <row r="16" spans="1:10" x14ac:dyDescent="0.2">
      <c r="A16" s="1" t="s">
        <v>133</v>
      </c>
    </row>
    <row r="17" spans="1:10" hidden="1" x14ac:dyDescent="0.2">
      <c r="A17" t="s">
        <v>175</v>
      </c>
      <c r="B17" s="34">
        <v>7.9000000000000008E-3</v>
      </c>
      <c r="C17" s="35">
        <f>$B17*1000*24*365*C$13</f>
        <v>65743.800000000017</v>
      </c>
      <c r="D17" t="s">
        <v>114</v>
      </c>
      <c r="E17" s="8">
        <f t="shared" ref="E17:E21" si="0">(8.76+45.331)*1000000/$C$9</f>
        <v>8.5639493056505511</v>
      </c>
      <c r="F17" s="40">
        <f t="shared" ref="F17:F24" si="1">C17*E17</f>
        <v>563026.57036082889</v>
      </c>
      <c r="G17" t="s">
        <v>114</v>
      </c>
      <c r="H17" s="8">
        <f t="shared" ref="H17:H21" si="2">(8.76+45.331)*1000000/$C$9</f>
        <v>8.5639493056505511</v>
      </c>
      <c r="I17" s="40">
        <f t="shared" ref="I17:I21" si="3">F17*H17</f>
        <v>4821731.0063044317</v>
      </c>
      <c r="J17" t="s">
        <v>114</v>
      </c>
    </row>
    <row r="18" spans="1:10" hidden="1" x14ac:dyDescent="0.2">
      <c r="A18" t="s">
        <v>176</v>
      </c>
      <c r="B18" s="34">
        <v>2.2800000000000001E-2</v>
      </c>
      <c r="C18" s="35">
        <f>$B18*1000*24*365*C$13</f>
        <v>189741.6</v>
      </c>
      <c r="D18" t="s">
        <v>114</v>
      </c>
      <c r="E18" s="8">
        <f t="shared" si="0"/>
        <v>8.5639493056505511</v>
      </c>
      <c r="F18" s="40">
        <f t="shared" si="1"/>
        <v>1624937.4435730246</v>
      </c>
      <c r="G18" t="s">
        <v>114</v>
      </c>
      <c r="H18" s="8">
        <f t="shared" si="2"/>
        <v>8.5639493056505511</v>
      </c>
      <c r="I18" s="40">
        <f t="shared" si="3"/>
        <v>13915881.891612785</v>
      </c>
      <c r="J18" t="s">
        <v>114</v>
      </c>
    </row>
    <row r="19" spans="1:10" hidden="1" x14ac:dyDescent="0.2">
      <c r="A19" t="s">
        <v>177</v>
      </c>
      <c r="B19" s="34">
        <v>4.7500000000000001E-2</v>
      </c>
      <c r="C19" s="35">
        <f>$B19*1000*24*365*C$13</f>
        <v>395295</v>
      </c>
      <c r="D19" t="s">
        <v>114</v>
      </c>
      <c r="E19" s="8">
        <f t="shared" si="0"/>
        <v>8.5639493056505511</v>
      </c>
      <c r="F19" s="40">
        <f t="shared" si="1"/>
        <v>3385286.3407771345</v>
      </c>
      <c r="G19" t="s">
        <v>114</v>
      </c>
      <c r="H19" s="8">
        <f t="shared" si="2"/>
        <v>8.5639493056505511</v>
      </c>
      <c r="I19" s="40">
        <f t="shared" si="3"/>
        <v>28991420.607526638</v>
      </c>
      <c r="J19" t="s">
        <v>114</v>
      </c>
    </row>
    <row r="20" spans="1:10" hidden="1" x14ac:dyDescent="0.2">
      <c r="A20" t="s">
        <v>178</v>
      </c>
      <c r="B20" s="34">
        <v>5.0000000000000001E-4</v>
      </c>
      <c r="C20" s="35">
        <f>$B20*1000*24*365*C$13</f>
        <v>4161</v>
      </c>
      <c r="D20" t="s">
        <v>114</v>
      </c>
      <c r="E20" s="8">
        <f t="shared" si="0"/>
        <v>8.5639493056505511</v>
      </c>
      <c r="F20" s="40">
        <f t="shared" si="1"/>
        <v>35634.593060811945</v>
      </c>
      <c r="G20" t="s">
        <v>114</v>
      </c>
      <c r="H20" s="8">
        <f t="shared" si="2"/>
        <v>8.5639493056505511</v>
      </c>
      <c r="I20" s="40">
        <f t="shared" si="3"/>
        <v>305172.84850028041</v>
      </c>
      <c r="J20" t="s">
        <v>114</v>
      </c>
    </row>
    <row r="21" spans="1:10" hidden="1" x14ac:dyDescent="0.2">
      <c r="A21" t="s">
        <v>179</v>
      </c>
      <c r="B21" s="34">
        <v>4.0000000000000002E-4</v>
      </c>
      <c r="C21" s="35">
        <f>$B21*1000*24*365*C$13</f>
        <v>3328.8</v>
      </c>
      <c r="D21" t="s">
        <v>114</v>
      </c>
      <c r="E21" s="8">
        <f t="shared" si="0"/>
        <v>8.5639493056505511</v>
      </c>
      <c r="F21" s="40">
        <f t="shared" si="1"/>
        <v>28507.674448649555</v>
      </c>
      <c r="G21" t="s">
        <v>114</v>
      </c>
      <c r="H21" s="8">
        <f t="shared" si="2"/>
        <v>8.5639493056505511</v>
      </c>
      <c r="I21" s="40">
        <f t="shared" si="3"/>
        <v>244138.27880022433</v>
      </c>
      <c r="J21" t="s">
        <v>114</v>
      </c>
    </row>
    <row r="22" spans="1:10" x14ac:dyDescent="0.2">
      <c r="A22" s="1" t="s">
        <v>137</v>
      </c>
      <c r="B22" s="36">
        <f>SUM(B17:B21)</f>
        <v>7.9100000000000004E-2</v>
      </c>
      <c r="C22" s="35">
        <f>SUM(C17:C21)</f>
        <v>658270.20000000007</v>
      </c>
      <c r="D22" t="s">
        <v>114</v>
      </c>
      <c r="E22" s="8">
        <v>4</v>
      </c>
      <c r="F22" s="40">
        <f t="shared" si="1"/>
        <v>2633080.8000000003</v>
      </c>
      <c r="G22" t="s">
        <v>114</v>
      </c>
      <c r="H22" s="8">
        <f>(1)*1000000/$C$9</f>
        <v>0.15832484712152761</v>
      </c>
      <c r="I22" s="40">
        <f>C22*H22</f>
        <v>104220.52877965741</v>
      </c>
      <c r="J22" t="s">
        <v>114</v>
      </c>
    </row>
    <row r="23" spans="1:10" x14ac:dyDescent="0.2">
      <c r="A23" t="s">
        <v>138</v>
      </c>
      <c r="C23" s="35">
        <v>412000</v>
      </c>
      <c r="D23" t="s">
        <v>114</v>
      </c>
      <c r="E23" s="8">
        <v>4</v>
      </c>
      <c r="F23" s="40">
        <f t="shared" si="1"/>
        <v>1648000</v>
      </c>
      <c r="G23" t="s">
        <v>114</v>
      </c>
      <c r="H23" s="8">
        <f>(1)*1000000/$C$9</f>
        <v>0.15832484712152761</v>
      </c>
      <c r="I23" s="40">
        <f>C23*H23</f>
        <v>65229.837014069373</v>
      </c>
      <c r="J23" t="s">
        <v>114</v>
      </c>
    </row>
    <row r="24" spans="1:10" x14ac:dyDescent="0.2">
      <c r="A24" t="s">
        <v>180</v>
      </c>
      <c r="C24" s="35">
        <f>0.02/1000*$C$9*365</f>
        <v>46107.734400000001</v>
      </c>
      <c r="D24" t="s">
        <v>114</v>
      </c>
      <c r="E24" s="8">
        <v>4</v>
      </c>
      <c r="F24" s="40">
        <f t="shared" si="1"/>
        <v>184430.9376</v>
      </c>
      <c r="G24" t="s">
        <v>114</v>
      </c>
      <c r="H24" s="8">
        <f>(1)*1000000/$C$9</f>
        <v>0.15832484712152761</v>
      </c>
      <c r="I24" s="40">
        <f>C24*H24</f>
        <v>7300</v>
      </c>
      <c r="J24" t="s">
        <v>114</v>
      </c>
    </row>
    <row r="25" spans="1:10" x14ac:dyDescent="0.2">
      <c r="A25" s="1" t="s">
        <v>140</v>
      </c>
      <c r="B25" s="1"/>
      <c r="C25" s="12">
        <f>SUM(C$30,C$22:C$24)</f>
        <v>1894484.9344000001</v>
      </c>
      <c r="F25" s="12">
        <f>SUM(F$30,F$22:F$24)</f>
        <v>7577939.7376000006</v>
      </c>
      <c r="I25" s="12">
        <f>SUM(I$30,I$22:I$24)</f>
        <v>299944.03761291725</v>
      </c>
    </row>
    <row r="26" spans="1:10" x14ac:dyDescent="0.2">
      <c r="A26" s="1"/>
      <c r="B26" s="1"/>
      <c r="C26" s="12"/>
      <c r="F26" s="12"/>
      <c r="I26" s="12"/>
    </row>
    <row r="27" spans="1:10" x14ac:dyDescent="0.2">
      <c r="A27" s="1" t="s">
        <v>141</v>
      </c>
      <c r="B27" s="1"/>
      <c r="C27" s="12"/>
      <c r="F27" s="12"/>
      <c r="I27" s="12"/>
    </row>
    <row r="28" spans="1:10" x14ac:dyDescent="0.2">
      <c r="A28" t="s">
        <v>181</v>
      </c>
      <c r="B28">
        <v>1.1000000000000001</v>
      </c>
      <c r="C28" s="32">
        <f>B28*1000*24</f>
        <v>26400</v>
      </c>
      <c r="D28" t="s">
        <v>182</v>
      </c>
      <c r="E28" s="8">
        <v>4</v>
      </c>
      <c r="F28" s="32">
        <f>C28*E28</f>
        <v>105600</v>
      </c>
      <c r="G28" t="s">
        <v>182</v>
      </c>
      <c r="H28" s="8">
        <f>(1)*1000000/$C$9</f>
        <v>0.15832484712152761</v>
      </c>
      <c r="I28" s="32">
        <f>C28*H28</f>
        <v>4179.7759640083286</v>
      </c>
      <c r="J28" t="s">
        <v>182</v>
      </c>
    </row>
    <row r="29" spans="1:10" x14ac:dyDescent="0.2">
      <c r="A29" t="s">
        <v>151</v>
      </c>
      <c r="C29" s="38">
        <f>'Energy Cost Rates'!F23</f>
        <v>8.5000000000000006E-2</v>
      </c>
      <c r="D29" t="s">
        <v>183</v>
      </c>
      <c r="F29" s="38">
        <f>'Energy Cost Rates'!F23</f>
        <v>8.5000000000000006E-2</v>
      </c>
      <c r="G29" t="s">
        <v>183</v>
      </c>
      <c r="I29" s="38">
        <f>'Energy Cost Rates'!F23</f>
        <v>8.5000000000000006E-2</v>
      </c>
      <c r="J29" t="s">
        <v>183</v>
      </c>
    </row>
    <row r="30" spans="1:10" x14ac:dyDescent="0.2">
      <c r="A30" s="1" t="s">
        <v>153</v>
      </c>
      <c r="C30" s="35">
        <f>C28*C29*365*C13</f>
        <v>778107</v>
      </c>
      <c r="D30" t="s">
        <v>114</v>
      </c>
      <c r="F30" s="35">
        <f>F28*F29*365*F13</f>
        <v>3112428</v>
      </c>
      <c r="G30" t="s">
        <v>114</v>
      </c>
      <c r="I30" s="35">
        <f>I28*I29*365*I13</f>
        <v>123193.67181919048</v>
      </c>
      <c r="J30" t="s">
        <v>114</v>
      </c>
    </row>
    <row r="31" spans="1:10" x14ac:dyDescent="0.2">
      <c r="C31" s="35"/>
      <c r="F31" s="35"/>
      <c r="I31" s="35"/>
    </row>
    <row r="32" spans="1:10" x14ac:dyDescent="0.2">
      <c r="A32" s="1" t="s">
        <v>155</v>
      </c>
      <c r="B32" s="1"/>
      <c r="C32" s="12">
        <f>SUM(C$8,C$30,C$22:C$24)</f>
        <v>3081594.9742024625</v>
      </c>
      <c r="F32" s="12">
        <f>SUM(F$8,F$30,F$22:F$24)</f>
        <v>12326379.89680985</v>
      </c>
      <c r="I32" s="12">
        <f>SUM(I$8,I$30,I$22:I$24)</f>
        <v>487893.05318107276</v>
      </c>
    </row>
    <row r="34" spans="1:10" x14ac:dyDescent="0.2">
      <c r="A34" s="1" t="s">
        <v>184</v>
      </c>
      <c r="B34" s="1"/>
      <c r="C34" s="12">
        <f>C32/(C9*365*C13/1000)</f>
        <v>1.4070455751436848</v>
      </c>
      <c r="D34" t="s">
        <v>185</v>
      </c>
      <c r="F34" s="12">
        <f>F32/(F9*365*F13/1000)</f>
        <v>1.4070455751436848</v>
      </c>
      <c r="G34" t="s">
        <v>185</v>
      </c>
      <c r="I34" s="12">
        <f>I32/(I9*365*I13/1000)</f>
        <v>1.407045575143685</v>
      </c>
      <c r="J34" t="s">
        <v>185</v>
      </c>
    </row>
    <row r="35" spans="1:10" x14ac:dyDescent="0.2">
      <c r="A35" s="1" t="s">
        <v>184</v>
      </c>
      <c r="B35" s="1"/>
      <c r="C35" s="12">
        <f>C$32/(C$9*365*C$13/325853.383688)</f>
        <v>458.49056166379773</v>
      </c>
      <c r="D35" t="s">
        <v>186</v>
      </c>
      <c r="F35" s="12">
        <f>F$32/(F$9*365*F$13/325853.383688)</f>
        <v>458.49056166379773</v>
      </c>
      <c r="G35" t="s">
        <v>186</v>
      </c>
      <c r="I35" s="12">
        <f>I$32/(I$9*365*I$13/325853.383688)</f>
        <v>458.49056166379779</v>
      </c>
      <c r="J35" t="s">
        <v>186</v>
      </c>
    </row>
    <row r="36" spans="1:10" x14ac:dyDescent="0.2">
      <c r="A36" s="1"/>
      <c r="B36" s="1"/>
      <c r="C36" s="12"/>
      <c r="F36" s="12"/>
      <c r="I36" s="12"/>
    </row>
    <row r="37" spans="1:10" x14ac:dyDescent="0.2">
      <c r="A37" s="6" t="s">
        <v>187</v>
      </c>
      <c r="C37" s="5">
        <v>19180</v>
      </c>
      <c r="D37" t="s">
        <v>188</v>
      </c>
      <c r="F37" s="5">
        <v>19180</v>
      </c>
      <c r="G37" t="s">
        <v>188</v>
      </c>
      <c r="I37" s="5">
        <v>19180</v>
      </c>
      <c r="J37" t="s">
        <v>188</v>
      </c>
    </row>
    <row r="38" spans="1:10" x14ac:dyDescent="0.2">
      <c r="A38" s="1" t="s">
        <v>189</v>
      </c>
      <c r="C38" s="15">
        <f>(C$9*365*C$12^C$13/325853.383688)</f>
        <v>5383.0665904911402</v>
      </c>
      <c r="D38" t="s">
        <v>190</v>
      </c>
      <c r="F38" s="15">
        <f>(F$9*365*F$12^F$13/325853.383688)</f>
        <v>21532.266361964561</v>
      </c>
      <c r="G38" t="s">
        <v>190</v>
      </c>
      <c r="I38" s="15">
        <f>(I$9*365*I$12^I$13/325853.383688)</f>
        <v>852.27319498451277</v>
      </c>
      <c r="J38" t="s">
        <v>190</v>
      </c>
    </row>
    <row r="39" spans="1:10" x14ac:dyDescent="0.2">
      <c r="A39" s="1" t="s">
        <v>191</v>
      </c>
      <c r="C39" s="5">
        <f>C38*1233481.8375475*C37/1000/1000/1000</f>
        <v>127353.56720045408</v>
      </c>
      <c r="D39" t="s">
        <v>192</v>
      </c>
      <c r="F39" s="5">
        <f>F38*1233481.8375475*F37/1000/1000/1000</f>
        <v>509414.26880181633</v>
      </c>
      <c r="G39" t="s">
        <v>192</v>
      </c>
      <c r="I39" s="5">
        <f>I38*1233481.8375475*I37/1000/1000/1000</f>
        <v>20163.234057393089</v>
      </c>
      <c r="J39" t="s">
        <v>192</v>
      </c>
    </row>
    <row r="40" spans="1:10" x14ac:dyDescent="0.2">
      <c r="A40" t="s">
        <v>193</v>
      </c>
      <c r="C40" s="10">
        <f>C32/C39</f>
        <v>24.197162607562003</v>
      </c>
      <c r="D40" t="s">
        <v>194</v>
      </c>
      <c r="F40" s="10">
        <f>F32/F39</f>
        <v>24.197162607562003</v>
      </c>
      <c r="G40" t="s">
        <v>194</v>
      </c>
      <c r="I40" s="10">
        <f>I32/I39</f>
        <v>24.197162607562003</v>
      </c>
      <c r="J40" t="s">
        <v>194</v>
      </c>
    </row>
    <row r="42" spans="1:10" x14ac:dyDescent="0.2">
      <c r="A42" t="s">
        <v>627</v>
      </c>
      <c r="C42" s="5">
        <v>58700</v>
      </c>
      <c r="D42" t="s">
        <v>188</v>
      </c>
      <c r="F42" s="5">
        <v>58700</v>
      </c>
      <c r="G42" t="s">
        <v>188</v>
      </c>
      <c r="I42" s="5">
        <v>58700</v>
      </c>
      <c r="J42" t="s">
        <v>188</v>
      </c>
    </row>
    <row r="43" spans="1:10" x14ac:dyDescent="0.2">
      <c r="A43" s="1" t="s">
        <v>195</v>
      </c>
      <c r="C43" s="15">
        <f>((C$10-C$9)*365*C$13/325853.383688)</f>
        <v>2240.3914292294176</v>
      </c>
      <c r="D43" t="s">
        <v>190</v>
      </c>
      <c r="F43" s="15">
        <f>((F$10-F$9)*365*F$13/325853.383688)</f>
        <v>8961.5657169176702</v>
      </c>
      <c r="G43" t="s">
        <v>190</v>
      </c>
      <c r="I43" s="15">
        <f>((I$10-I$9)*365*I$13/325853.383688)</f>
        <v>354.70963052512815</v>
      </c>
      <c r="J43" t="s">
        <v>190</v>
      </c>
    </row>
    <row r="44" spans="1:10" x14ac:dyDescent="0.2">
      <c r="A44" s="1" t="s">
        <v>628</v>
      </c>
      <c r="C44" s="5">
        <f>C43*1233481.8375475*C42/1000/1000/1000</f>
        <v>162216.40143905726</v>
      </c>
      <c r="D44" t="s">
        <v>192</v>
      </c>
      <c r="F44" s="5">
        <f>F43*1233481.8375475*F42/1000/1000/1000</f>
        <v>648865.60575622902</v>
      </c>
      <c r="G44" t="s">
        <v>192</v>
      </c>
      <c r="I44" s="5">
        <f>I43*1233481.8375475*I42/1000/1000/1000</f>
        <v>25682.886958443079</v>
      </c>
      <c r="J44" t="s">
        <v>192</v>
      </c>
    </row>
    <row r="45" spans="1:10" x14ac:dyDescent="0.2">
      <c r="A45" t="s">
        <v>196</v>
      </c>
      <c r="C45" s="8">
        <f>C28/C9*1000000</f>
        <v>4179.7759640083286</v>
      </c>
      <c r="D45" t="s">
        <v>197</v>
      </c>
      <c r="F45" s="8">
        <f>F28/F9*1000000</f>
        <v>4179.7759640083286</v>
      </c>
      <c r="G45" t="s">
        <v>197</v>
      </c>
      <c r="I45" s="8">
        <f>I28/I9*1000000</f>
        <v>4179.7759640083286</v>
      </c>
      <c r="J45" t="s">
        <v>197</v>
      </c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scale="66"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13" zoomScale="110" zoomScaleNormal="110" workbookViewId="0">
      <selection activeCell="F39" sqref="F39"/>
    </sheetView>
  </sheetViews>
  <sheetFormatPr defaultColWidth="11.5703125" defaultRowHeight="12.75" x14ac:dyDescent="0.2"/>
  <cols>
    <col min="1" max="1" width="26.140625" customWidth="1"/>
    <col min="2" max="2" width="17.42578125" customWidth="1"/>
    <col min="3" max="3" width="12.42578125" customWidth="1"/>
  </cols>
  <sheetData>
    <row r="1" spans="1:5" x14ac:dyDescent="0.2">
      <c r="A1" s="172" t="s">
        <v>764</v>
      </c>
      <c r="B1" s="173" t="s">
        <v>391</v>
      </c>
      <c r="C1" s="172" t="s">
        <v>107</v>
      </c>
      <c r="D1" s="174"/>
    </row>
    <row r="2" spans="1:5" x14ac:dyDescent="0.2">
      <c r="A2" s="172"/>
      <c r="B2" s="172"/>
      <c r="C2" s="174"/>
      <c r="D2" s="174"/>
    </row>
    <row r="3" spans="1:5" x14ac:dyDescent="0.2">
      <c r="A3" s="172" t="s">
        <v>169</v>
      </c>
      <c r="B3" s="175">
        <f>'20MGD 60Effect VTE Capital Cost'!B33</f>
        <v>51156410.580740981</v>
      </c>
      <c r="C3" s="174" t="s">
        <v>110</v>
      </c>
      <c r="D3" s="174"/>
    </row>
    <row r="4" spans="1:5" x14ac:dyDescent="0.2">
      <c r="A4" s="174" t="s">
        <v>111</v>
      </c>
      <c r="B4" s="174">
        <v>30</v>
      </c>
      <c r="C4" s="174" t="s">
        <v>112</v>
      </c>
      <c r="D4" s="174"/>
    </row>
    <row r="5" spans="1:5" x14ac:dyDescent="0.2">
      <c r="A5" s="174" t="s">
        <v>113</v>
      </c>
      <c r="B5" s="176">
        <v>0.08</v>
      </c>
      <c r="C5" s="174" t="s">
        <v>114</v>
      </c>
      <c r="D5" s="174"/>
    </row>
    <row r="6" spans="1:5" x14ac:dyDescent="0.2">
      <c r="A6" s="174" t="s">
        <v>115</v>
      </c>
      <c r="B6" s="177">
        <f>B4*12*($B5/12*$B$3)/(1-POWER($B$5/12+1,-$B$4*12))</f>
        <v>135132342.51951319</v>
      </c>
      <c r="C6" s="174"/>
      <c r="D6" s="174"/>
    </row>
    <row r="7" spans="1:5" x14ac:dyDescent="0.2">
      <c r="A7" s="172" t="s">
        <v>116</v>
      </c>
      <c r="B7" s="178">
        <f>B6/B4</f>
        <v>4504411.4173171064</v>
      </c>
      <c r="C7" s="174"/>
      <c r="D7" s="179">
        <f>B7/(B$10*365*B$15/264.172)</f>
        <v>0.17158462479242895</v>
      </c>
    </row>
    <row r="8" spans="1:5" x14ac:dyDescent="0.2">
      <c r="A8" s="172"/>
      <c r="B8" s="178"/>
      <c r="C8" s="174"/>
      <c r="D8" s="179"/>
    </row>
    <row r="9" spans="1:5" x14ac:dyDescent="0.2">
      <c r="A9" s="180" t="s">
        <v>396</v>
      </c>
      <c r="B9" s="174">
        <v>56</v>
      </c>
      <c r="C9" s="174" t="s">
        <v>763</v>
      </c>
      <c r="D9" s="179"/>
    </row>
    <row r="10" spans="1:5" ht="14.25" x14ac:dyDescent="0.2">
      <c r="A10" s="174" t="s">
        <v>198</v>
      </c>
      <c r="B10" s="181">
        <f xml:space="preserve"> 5000000 * B9/14</f>
        <v>20000000</v>
      </c>
      <c r="C10" s="174" t="s">
        <v>128</v>
      </c>
      <c r="D10" s="182">
        <f xml:space="preserve"> B10/264.172</f>
        <v>75708.250685159655</v>
      </c>
      <c r="E10" t="s">
        <v>751</v>
      </c>
    </row>
    <row r="11" spans="1:5" ht="14.25" x14ac:dyDescent="0.2">
      <c r="A11" s="174" t="s">
        <v>198</v>
      </c>
      <c r="B11" s="181">
        <f xml:space="preserve"> B10/264.172</f>
        <v>75708.250685159655</v>
      </c>
      <c r="C11" s="174" t="s">
        <v>751</v>
      </c>
      <c r="D11" s="182"/>
    </row>
    <row r="12" spans="1:5" x14ac:dyDescent="0.2">
      <c r="A12" s="174" t="s">
        <v>199</v>
      </c>
      <c r="B12" s="183">
        <v>5</v>
      </c>
      <c r="C12" s="174"/>
      <c r="D12" s="174"/>
    </row>
    <row r="13" spans="1:5" x14ac:dyDescent="0.2">
      <c r="A13" s="174" t="s">
        <v>200</v>
      </c>
      <c r="B13" s="181">
        <f>B10/B12</f>
        <v>4000000</v>
      </c>
      <c r="C13" s="174" t="s">
        <v>128</v>
      </c>
      <c r="D13" s="174"/>
    </row>
    <row r="14" spans="1:5" x14ac:dyDescent="0.2">
      <c r="A14" s="174" t="s">
        <v>173</v>
      </c>
      <c r="B14" s="184">
        <f>B10/(B10+B13)</f>
        <v>0.83333333333333337</v>
      </c>
      <c r="C14" s="174"/>
      <c r="D14" s="174"/>
    </row>
    <row r="15" spans="1:5" x14ac:dyDescent="0.2">
      <c r="A15" s="174" t="s">
        <v>130</v>
      </c>
      <c r="B15" s="185">
        <v>0.95</v>
      </c>
      <c r="C15" s="174"/>
      <c r="D15" s="174"/>
    </row>
    <row r="16" spans="1:5" x14ac:dyDescent="0.2">
      <c r="A16" s="180" t="s">
        <v>131</v>
      </c>
      <c r="B16" s="186">
        <f>B3/B10</f>
        <v>2.5578205290370493</v>
      </c>
      <c r="C16" s="174"/>
      <c r="D16" s="174"/>
    </row>
    <row r="17" spans="1:7" x14ac:dyDescent="0.2">
      <c r="A17" s="180"/>
      <c r="B17" s="186"/>
      <c r="C17" s="174"/>
      <c r="D17" s="174"/>
    </row>
    <row r="18" spans="1:7" x14ac:dyDescent="0.2">
      <c r="A18" s="172" t="s">
        <v>133</v>
      </c>
      <c r="B18" s="186"/>
      <c r="C18" s="174"/>
      <c r="D18" s="174"/>
    </row>
    <row r="19" spans="1:7" x14ac:dyDescent="0.2">
      <c r="A19" s="174" t="s">
        <v>181</v>
      </c>
      <c r="B19" s="181">
        <f xml:space="preserve"> '20MGD 60Effect Pump Specs'!H11</f>
        <v>1579.2673995414198</v>
      </c>
      <c r="C19" s="174" t="s">
        <v>761</v>
      </c>
      <c r="D19" s="174"/>
    </row>
    <row r="20" spans="1:7" x14ac:dyDescent="0.2">
      <c r="A20" s="174" t="s">
        <v>151</v>
      </c>
      <c r="B20" s="187">
        <f>'Energy Cost Rates'!F23</f>
        <v>8.5000000000000006E-2</v>
      </c>
      <c r="C20" s="174" t="s">
        <v>183</v>
      </c>
      <c r="D20" s="174"/>
    </row>
    <row r="21" spans="1:7" x14ac:dyDescent="0.2">
      <c r="A21" s="174" t="s">
        <v>153</v>
      </c>
      <c r="B21" s="177">
        <f>B19*B20*24*365*B15</f>
        <v>1117126.380413614</v>
      </c>
      <c r="C21" s="174" t="s">
        <v>114</v>
      </c>
      <c r="D21" s="174"/>
    </row>
    <row r="22" spans="1:7" x14ac:dyDescent="0.2">
      <c r="A22" s="174" t="s">
        <v>769</v>
      </c>
      <c r="B22" s="181">
        <v>120000</v>
      </c>
      <c r="C22" s="174" t="s">
        <v>204</v>
      </c>
      <c r="D22" s="174"/>
      <c r="F22" s="5">
        <f xml:space="preserve"> 5 * B22</f>
        <v>600000</v>
      </c>
      <c r="G22" s="174" t="s">
        <v>204</v>
      </c>
    </row>
    <row r="23" spans="1:7" x14ac:dyDescent="0.2">
      <c r="A23" s="174" t="s">
        <v>757</v>
      </c>
      <c r="B23" s="188">
        <v>4.4999999999999997E-3</v>
      </c>
      <c r="C23" s="174" t="s">
        <v>206</v>
      </c>
      <c r="D23" s="188"/>
    </row>
    <row r="24" spans="1:7" x14ac:dyDescent="0.2">
      <c r="A24" s="174" t="s">
        <v>758</v>
      </c>
      <c r="B24" s="177">
        <f>B22*B23*24*365*B15</f>
        <v>4493880</v>
      </c>
      <c r="C24" s="174" t="s">
        <v>114</v>
      </c>
      <c r="D24" s="174"/>
      <c r="F24" s="146">
        <f xml:space="preserve"> 5 * B24</f>
        <v>22469400</v>
      </c>
      <c r="G24" s="174" t="s">
        <v>114</v>
      </c>
    </row>
    <row r="25" spans="1:7" x14ac:dyDescent="0.2">
      <c r="A25" s="174" t="s">
        <v>203</v>
      </c>
      <c r="B25" s="181">
        <f xml:space="preserve"> B22 * B42</f>
        <v>100068000</v>
      </c>
      <c r="C25" s="174" t="s">
        <v>759</v>
      </c>
      <c r="D25" s="174"/>
    </row>
    <row r="26" spans="1:7" ht="15.75" x14ac:dyDescent="0.3">
      <c r="A26" s="174" t="s">
        <v>203</v>
      </c>
      <c r="B26" s="181">
        <f xml:space="preserve"> B25 * 0.00029307107017</f>
        <v>29327.035849771561</v>
      </c>
      <c r="C26" s="174" t="s">
        <v>760</v>
      </c>
      <c r="D26" s="174"/>
    </row>
    <row r="27" spans="1:7" x14ac:dyDescent="0.2">
      <c r="A27" s="172" t="s">
        <v>154</v>
      </c>
      <c r="B27" s="178">
        <f>SUM(B$21,B$24)</f>
        <v>5611006.3804136142</v>
      </c>
      <c r="C27" s="174"/>
      <c r="D27" s="174"/>
    </row>
    <row r="28" spans="1:7" x14ac:dyDescent="0.2">
      <c r="A28" s="174" t="s">
        <v>201</v>
      </c>
      <c r="B28" s="177">
        <f>0.51/1000*$B$10*365</f>
        <v>3723000</v>
      </c>
      <c r="C28" s="174" t="s">
        <v>114</v>
      </c>
      <c r="D28" s="174"/>
    </row>
    <row r="29" spans="1:7" x14ac:dyDescent="0.2">
      <c r="A29" s="174" t="s">
        <v>175</v>
      </c>
      <c r="B29" s="177">
        <f>0.06/1000*$B$10*365</f>
        <v>438000</v>
      </c>
      <c r="C29" s="174" t="s">
        <v>114</v>
      </c>
      <c r="D29" s="174"/>
    </row>
    <row r="30" spans="1:7" x14ac:dyDescent="0.2">
      <c r="A30" s="174" t="s">
        <v>180</v>
      </c>
      <c r="B30" s="177">
        <f xml:space="preserve"> 0.02/1000*$B$10*365</f>
        <v>146000.00000000003</v>
      </c>
      <c r="C30" s="174" t="s">
        <v>114</v>
      </c>
      <c r="D30" s="174"/>
    </row>
    <row r="31" spans="1:7" x14ac:dyDescent="0.2">
      <c r="A31" s="172" t="s">
        <v>140</v>
      </c>
      <c r="B31" s="178">
        <f>SUM(B$28:B$30)</f>
        <v>4307000</v>
      </c>
      <c r="C31" s="174"/>
      <c r="D31" s="174"/>
    </row>
    <row r="32" spans="1:7" x14ac:dyDescent="0.2">
      <c r="A32" s="172" t="s">
        <v>155</v>
      </c>
      <c r="B32" s="178">
        <f>SUM(B$7,B$27,B$28:B$30)</f>
        <v>14422417.797730722</v>
      </c>
      <c r="C32" s="174"/>
      <c r="D32" s="174"/>
    </row>
    <row r="33" spans="1:6" x14ac:dyDescent="0.2">
      <c r="A33" s="174"/>
      <c r="B33" s="174"/>
      <c r="C33" s="174"/>
      <c r="D33" s="174"/>
    </row>
    <row r="34" spans="1:6" x14ac:dyDescent="0.2">
      <c r="A34" s="172" t="s">
        <v>208</v>
      </c>
      <c r="B34" s="178">
        <f>B32/(B10*365*B15/1000)</f>
        <v>2.0796564957073858</v>
      </c>
      <c r="C34" s="174" t="s">
        <v>185</v>
      </c>
      <c r="D34" s="174"/>
    </row>
    <row r="35" spans="1:6" ht="14.25" x14ac:dyDescent="0.2">
      <c r="A35" s="172" t="s">
        <v>208</v>
      </c>
      <c r="B35" s="178">
        <f>B32/(B10*365*B15/264.172)</f>
        <v>0.54938701578401161</v>
      </c>
      <c r="C35" s="174" t="s">
        <v>752</v>
      </c>
      <c r="D35" s="174"/>
    </row>
    <row r="36" spans="1:6" x14ac:dyDescent="0.2">
      <c r="A36" s="172" t="s">
        <v>208</v>
      </c>
      <c r="B36" s="178">
        <f>B$32/(B$10*365*B$15/325853.383688)</f>
        <v>677.66310603498027</v>
      </c>
      <c r="C36" s="174" t="s">
        <v>186</v>
      </c>
      <c r="D36" s="174"/>
    </row>
    <row r="37" spans="1:6" ht="14.25" x14ac:dyDescent="0.2">
      <c r="A37" s="172" t="s">
        <v>756</v>
      </c>
      <c r="B37" s="178">
        <f>B7/(B10*365*B15/264.172)</f>
        <v>0.17158462479242895</v>
      </c>
      <c r="C37" s="174" t="s">
        <v>752</v>
      </c>
      <c r="D37" s="174"/>
    </row>
    <row r="38" spans="1:6" x14ac:dyDescent="0.2">
      <c r="A38" s="174"/>
      <c r="B38" s="174"/>
      <c r="C38" s="174"/>
      <c r="D38" s="174"/>
    </row>
    <row r="39" spans="1:6" x14ac:dyDescent="0.2">
      <c r="A39" s="174" t="s">
        <v>209</v>
      </c>
      <c r="B39" s="181">
        <f>(B$10*365*B$15/325853.383688)</f>
        <v>21282.577831507697</v>
      </c>
      <c r="C39" s="174" t="s">
        <v>190</v>
      </c>
      <c r="D39" s="174"/>
      <c r="F39" s="5">
        <f xml:space="preserve"> 5 * B39</f>
        <v>106412.88915753848</v>
      </c>
    </row>
    <row r="40" spans="1:6" x14ac:dyDescent="0.2">
      <c r="A40" s="174" t="s">
        <v>310</v>
      </c>
      <c r="B40" s="181">
        <f>(B$13*365*B$15/325853.383688)</f>
        <v>4256.5155663015394</v>
      </c>
      <c r="C40" s="174" t="s">
        <v>190</v>
      </c>
      <c r="D40" s="174"/>
    </row>
    <row r="41" spans="1:6" x14ac:dyDescent="0.2">
      <c r="A41" s="174" t="s">
        <v>798</v>
      </c>
      <c r="B41" s="181">
        <f xml:space="preserve"> 1233.48 * 0.2607 * SUM(B40)</f>
        <v>1368760.202162127</v>
      </c>
      <c r="C41" s="174" t="s">
        <v>716</v>
      </c>
      <c r="D41" s="174"/>
    </row>
    <row r="42" spans="1:6" ht="14.25" customHeight="1" x14ac:dyDescent="0.2">
      <c r="A42" s="180" t="s">
        <v>755</v>
      </c>
      <c r="B42" s="181">
        <v>833.9</v>
      </c>
      <c r="C42" s="174" t="s">
        <v>72</v>
      </c>
      <c r="D42" s="174"/>
    </row>
    <row r="43" spans="1:6" ht="17.25" customHeight="1" x14ac:dyDescent="0.3">
      <c r="A43" s="190" t="s">
        <v>753</v>
      </c>
      <c r="B43" s="191">
        <f xml:space="preserve"> 24 * B22 * B42 * 0.00029307107017 / B11</f>
        <v>9.2968580574070252</v>
      </c>
      <c r="C43" s="174" t="s">
        <v>754</v>
      </c>
      <c r="D43" s="174"/>
    </row>
    <row r="44" spans="1:6" ht="14.25" x14ac:dyDescent="0.2">
      <c r="A44" s="174" t="s">
        <v>765</v>
      </c>
      <c r="B44" s="189">
        <f xml:space="preserve"> 24 * B19/B11</f>
        <v>0.50063787296598716</v>
      </c>
      <c r="C44" s="174" t="s">
        <v>766</v>
      </c>
      <c r="D44" s="174"/>
    </row>
  </sheetData>
  <sheetProtection selectLockedCells="1" selectUnlockedCells="1"/>
  <printOptions gridLine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15EAC2019B624CB5B24CF9FF2800B8" ma:contentTypeVersion="12" ma:contentTypeDescription="Create a new document." ma:contentTypeScope="" ma:versionID="95efd9c7d094caec76dfff43f0203ee8">
  <xsd:schema xmlns:xsd="http://www.w3.org/2001/XMLSchema" xmlns:xs="http://www.w3.org/2001/XMLSchema" xmlns:p="http://schemas.microsoft.com/office/2006/metadata/properties" xmlns:ns2="c67f01ef-52a7-44e9-8f2a-d94dec3f814f" xmlns:ns3="bbce72e2-4278-4548-8ef4-8ad0fc682cbb" targetNamespace="http://schemas.microsoft.com/office/2006/metadata/properties" ma:root="true" ma:fieldsID="0768b88caf2e382bd0e7b33f2a6b2063" ns2:_="" ns3:_="">
    <xsd:import namespace="c67f01ef-52a7-44e9-8f2a-d94dec3f814f"/>
    <xsd:import namespace="bbce72e2-4278-4548-8ef4-8ad0fc682c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f01ef-52a7-44e9-8f2a-d94dec3f8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e72e2-4278-4548-8ef4-8ad0fc682cb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77142B-3420-441F-90E8-F27ADA2BA767}"/>
</file>

<file path=customXml/itemProps2.xml><?xml version="1.0" encoding="utf-8"?>
<ds:datastoreItem xmlns:ds="http://schemas.openxmlformats.org/officeDocument/2006/customXml" ds:itemID="{1FA3D0BA-19EC-4E07-80AA-1D1EFB5CC323}"/>
</file>

<file path=customXml/itemProps3.xml><?xml version="1.0" encoding="utf-8"?>
<ds:datastoreItem xmlns:ds="http://schemas.openxmlformats.org/officeDocument/2006/customXml" ds:itemID="{0E39ABB3-F5EB-4F3B-AFE3-86B33341BF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14</vt:i4>
      </vt:variant>
    </vt:vector>
  </HeadingPairs>
  <TitlesOfParts>
    <vt:vector size="46" baseType="lpstr">
      <vt:lpstr>Financials 20 MGD VTE, SGSP</vt:lpstr>
      <vt:lpstr>Annual Cost &amp; Revenue 20 MGD</vt:lpstr>
      <vt:lpstr>Annual Cost &amp; Revenue, Schedule</vt:lpstr>
      <vt:lpstr>Management Team Cost</vt:lpstr>
      <vt:lpstr>Engineering Team Cost</vt:lpstr>
      <vt:lpstr>Energy Cost Rates</vt:lpstr>
      <vt:lpstr>Levellized Salt Refinery Plant </vt:lpstr>
      <vt:lpstr>Levellized Salt Sep Plant</vt:lpstr>
      <vt:lpstr>20MGD 60 Effect Levellized VTE</vt:lpstr>
      <vt:lpstr>20MGD 60Effect VTE Capital Cost</vt:lpstr>
      <vt:lpstr>20MGD 60Effect VTE Excavation</vt:lpstr>
      <vt:lpstr>20MGD 60Effect Pump Specs</vt:lpstr>
      <vt:lpstr>20MGD 60Effect Evaporator Cost</vt:lpstr>
      <vt:lpstr>20MGD Adjacent Tube Bundle</vt:lpstr>
      <vt:lpstr>20 MGD Stacked Tube Bundle</vt:lpstr>
      <vt:lpstr>5MGD 15 Effect Levellized VTE</vt:lpstr>
      <vt:lpstr>5MGD 15 Effect VTE Capital Cost</vt:lpstr>
      <vt:lpstr>5 MGD 15 Effect VTE Excavation </vt:lpstr>
      <vt:lpstr>5MGD 15 Effect Pump Specs kW</vt:lpstr>
      <vt:lpstr>5MGD 15 Effect Evaporator Costs</vt:lpstr>
      <vt:lpstr>5 MGD Adjacent Tube Bundle Spec</vt:lpstr>
      <vt:lpstr>10 MGD Stacked Tube Bundle Spec</vt:lpstr>
      <vt:lpstr>SGSP Summary</vt:lpstr>
      <vt:lpstr>SGSP Section Cost low evap.</vt:lpstr>
      <vt:lpstr>SGSP Pond Sizing</vt:lpstr>
      <vt:lpstr>SGSP Salt content</vt:lpstr>
      <vt:lpstr>Solar Pond Brine Cost</vt:lpstr>
      <vt:lpstr>Salt Evaporation Pond Costs</vt:lpstr>
      <vt:lpstr>Blended Water Cost Summary</vt:lpstr>
      <vt:lpstr>Blended Water Cost 2013</vt:lpstr>
      <vt:lpstr>IID Cost Basis 2013</vt:lpstr>
      <vt:lpstr>IID Water Rate Calculator</vt:lpstr>
      <vt:lpstr>'20 MGD Stacked Tube Bundle'!Print_Area</vt:lpstr>
      <vt:lpstr>'20MGD 60 Effect Levellized VTE'!Print_Area</vt:lpstr>
      <vt:lpstr>'20MGD 60Effect Evaporator Cost'!Print_Area</vt:lpstr>
      <vt:lpstr>'20MGD 60Effect Pump Specs'!Print_Area</vt:lpstr>
      <vt:lpstr>'20MGD 60Effect VTE Capital Cost'!Print_Area</vt:lpstr>
      <vt:lpstr>'5MGD 15 Effect Evaporator Costs'!Print_Area</vt:lpstr>
      <vt:lpstr>'5MGD 15 Effect Levellized VTE'!Print_Area</vt:lpstr>
      <vt:lpstr>'5MGD 15 Effect Pump Specs kW'!Print_Area</vt:lpstr>
      <vt:lpstr>'5MGD 15 Effect VTE Capital Cost'!Print_Area</vt:lpstr>
      <vt:lpstr>'Levellized Salt Refinery Plant '!Print_Area</vt:lpstr>
      <vt:lpstr>'Levellized Salt Sep Plant'!Print_Area</vt:lpstr>
      <vt:lpstr>'Salt Evaporation Pond Costs'!Print_Area</vt:lpstr>
      <vt:lpstr>'SGSP Section Cost low evap.'!Print_Area</vt:lpstr>
      <vt:lpstr>'SGSP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Sephton</cp:lastModifiedBy>
  <cp:lastPrinted>2021-10-13T04:53:23Z</cp:lastPrinted>
  <dcterms:created xsi:type="dcterms:W3CDTF">2014-08-13T14:55:42Z</dcterms:created>
  <dcterms:modified xsi:type="dcterms:W3CDTF">2021-10-13T06:15:40Z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0x0101002415EAC2019B624CB5B24CF9FF2800B8</vt:lpwstr>
  </property>
</Properties>
</file>