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42480zz\Desktop\Personal\Projects\Engineering to Eden LLC\Salton Sea Restoration\"/>
    </mc:Choice>
  </mc:AlternateContent>
  <xr:revisionPtr revIDLastSave="0" documentId="11_ACB9F6390E7B083F11ABDD72D3C7A3758F604475" xr6:coauthVersionLast="47" xr6:coauthVersionMax="47" xr10:uidLastSave="{00000000-0000-0000-0000-000000000000}"/>
  <bookViews>
    <workbookView xWindow="0" yWindow="0" windowWidth="19200" windowHeight="6375" firstSheet="1" activeTab="1" xr2:uid="{00000000-000D-0000-FFFF-FFFF00000000}"/>
  </bookViews>
  <sheets>
    <sheet name="Lookup Tables" sheetId="9" state="hidden" r:id="rId1"/>
    <sheet name="HOME" sheetId="11" r:id="rId2"/>
    <sheet name="System Assumptions" sheetId="5" r:id="rId3"/>
    <sheet name="Hydrological Data Model" sheetId="1" r:id="rId4"/>
    <sheet name="Data Model Calculations" sheetId="3" r:id="rId5"/>
    <sheet name="Surface Area" sheetId="7" r:id="rId6"/>
    <sheet name="Sources" sheetId="2" r:id="rId7"/>
  </sheets>
  <definedNames>
    <definedName name="a">"Rectangle 7,Rectangle 9,Rectangle 8,Rectangle 10,Rectangle 12,Rectangle 11,Rectangle 15,Rectangle 16,Rectangle 13,Rectangle 18,Rectangle 19,Rectangle 17,Rectangle 14,Rectangle 37"</definedName>
  </definedName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4" i="5" l="1"/>
  <c r="E40" i="5" l="1"/>
  <c r="F80" i="5" s="1"/>
  <c r="E43" i="5"/>
  <c r="F82" i="5" s="1"/>
  <c r="I13" i="1" l="1"/>
  <c r="I14" i="1" s="1"/>
  <c r="E13" i="1"/>
  <c r="E14" i="1" s="1"/>
  <c r="F25" i="5"/>
  <c r="F24" i="5"/>
  <c r="F83" i="5" s="1"/>
  <c r="L28" i="1" l="1"/>
  <c r="L24" i="1"/>
  <c r="E57" i="5"/>
  <c r="F56" i="5"/>
  <c r="E56" i="5" s="1"/>
  <c r="E55" i="5"/>
  <c r="E29" i="5"/>
  <c r="G12" i="5"/>
  <c r="H16" i="5"/>
  <c r="I34" i="5" s="1"/>
  <c r="E16" i="5"/>
  <c r="F16" i="5" s="1"/>
  <c r="E19" i="5"/>
  <c r="E20" i="5"/>
  <c r="E21" i="5"/>
  <c r="E28" i="5"/>
  <c r="F30" i="5"/>
  <c r="F57" i="5" s="1"/>
  <c r="E10" i="5"/>
  <c r="E12" i="3" s="1"/>
  <c r="H10" i="5"/>
  <c r="I10" i="5" s="1"/>
  <c r="J10" i="5" s="1"/>
  <c r="E11" i="5"/>
  <c r="H11" i="5" s="1"/>
  <c r="I11" i="5" s="1"/>
  <c r="J11" i="5" s="1"/>
  <c r="E15" i="5"/>
  <c r="F15" i="5" s="1"/>
  <c r="H15" i="5"/>
  <c r="I33" i="5" s="1"/>
  <c r="E58" i="5" l="1"/>
  <c r="E61" i="5" s="1"/>
  <c r="F34" i="5"/>
  <c r="H34" i="5" s="1"/>
  <c r="E12" i="5"/>
  <c r="F33" i="5"/>
  <c r="H12" i="5"/>
  <c r="I12" i="5"/>
  <c r="J12" i="5" s="1"/>
  <c r="F10" i="5"/>
  <c r="F11" i="5"/>
  <c r="F81" i="5" l="1"/>
  <c r="F86" i="5" s="1"/>
  <c r="F87" i="5" s="1"/>
  <c r="E64" i="5"/>
  <c r="G34" i="5"/>
  <c r="J34" i="5" s="1"/>
  <c r="F61" i="5"/>
  <c r="E34" i="5"/>
  <c r="G33" i="5"/>
  <c r="J33" i="5" s="1"/>
  <c r="H33" i="5"/>
  <c r="E33" i="5"/>
  <c r="F12" i="5"/>
  <c r="F88" i="5" l="1"/>
  <c r="F89" i="5" s="1"/>
  <c r="I58" i="1" s="1"/>
  <c r="F64" i="5"/>
  <c r="Z15" i="7"/>
  <c r="Z11" i="7"/>
  <c r="Z9" i="7"/>
  <c r="Z18" i="7" l="1"/>
  <c r="E58" i="1"/>
  <c r="E49" i="1"/>
  <c r="I49" i="1"/>
  <c r="I30" i="1"/>
  <c r="I26" i="1"/>
  <c r="I25" i="1"/>
  <c r="J25" i="1" s="1"/>
  <c r="I29" i="1"/>
  <c r="F29" i="1" s="1"/>
  <c r="I50" i="1" s="1"/>
  <c r="I51" i="1" s="1"/>
  <c r="J29" i="1" l="1"/>
  <c r="H29" i="1"/>
  <c r="G29" i="1" s="1"/>
  <c r="E29" i="1" s="1"/>
  <c r="F25" i="1"/>
  <c r="E50" i="1" s="1"/>
  <c r="I33" i="1"/>
  <c r="H25" i="1"/>
  <c r="G25" i="1" s="1"/>
  <c r="E25" i="1" s="1"/>
  <c r="E663" i="3"/>
  <c r="D663" i="3"/>
  <c r="M663" i="3" s="1"/>
  <c r="E662" i="3"/>
  <c r="D662" i="3"/>
  <c r="M662" i="3" s="1"/>
  <c r="E661" i="3"/>
  <c r="D661" i="3"/>
  <c r="M661" i="3" s="1"/>
  <c r="E660" i="3"/>
  <c r="D660" i="3"/>
  <c r="M660" i="3" s="1"/>
  <c r="E659" i="3"/>
  <c r="D659" i="3"/>
  <c r="M659" i="3" s="1"/>
  <c r="E658" i="3"/>
  <c r="D658" i="3"/>
  <c r="M658" i="3" s="1"/>
  <c r="E657" i="3"/>
  <c r="D657" i="3"/>
  <c r="M657" i="3" s="1"/>
  <c r="E656" i="3"/>
  <c r="D656" i="3"/>
  <c r="M656" i="3" s="1"/>
  <c r="E655" i="3"/>
  <c r="D655" i="3"/>
  <c r="M655" i="3" s="1"/>
  <c r="E654" i="3"/>
  <c r="D654" i="3"/>
  <c r="M654" i="3" s="1"/>
  <c r="E653" i="3"/>
  <c r="D653" i="3"/>
  <c r="M653" i="3" s="1"/>
  <c r="E652" i="3"/>
  <c r="D652" i="3"/>
  <c r="M652" i="3" s="1"/>
  <c r="E651" i="3"/>
  <c r="D651" i="3"/>
  <c r="M651" i="3" s="1"/>
  <c r="E650" i="3"/>
  <c r="D650" i="3"/>
  <c r="M650" i="3" s="1"/>
  <c r="E649" i="3"/>
  <c r="D649" i="3"/>
  <c r="M649" i="3" s="1"/>
  <c r="E648" i="3"/>
  <c r="D648" i="3"/>
  <c r="M648" i="3" s="1"/>
  <c r="E647" i="3"/>
  <c r="D647" i="3"/>
  <c r="M647" i="3" s="1"/>
  <c r="E646" i="3"/>
  <c r="D646" i="3"/>
  <c r="M646" i="3" s="1"/>
  <c r="E645" i="3"/>
  <c r="D645" i="3"/>
  <c r="M645" i="3" s="1"/>
  <c r="E644" i="3"/>
  <c r="D644" i="3"/>
  <c r="M644" i="3" s="1"/>
  <c r="E643" i="3"/>
  <c r="D643" i="3"/>
  <c r="M643" i="3" s="1"/>
  <c r="E642" i="3"/>
  <c r="D642" i="3"/>
  <c r="M642" i="3" s="1"/>
  <c r="E641" i="3"/>
  <c r="D641" i="3"/>
  <c r="M641" i="3" s="1"/>
  <c r="E640" i="3"/>
  <c r="D640" i="3"/>
  <c r="M640" i="3" s="1"/>
  <c r="E639" i="3"/>
  <c r="D639" i="3"/>
  <c r="M639" i="3" s="1"/>
  <c r="E638" i="3"/>
  <c r="D638" i="3"/>
  <c r="M638" i="3" s="1"/>
  <c r="E637" i="3"/>
  <c r="D637" i="3"/>
  <c r="M637" i="3" s="1"/>
  <c r="E636" i="3"/>
  <c r="D636" i="3"/>
  <c r="M636" i="3" s="1"/>
  <c r="E635" i="3"/>
  <c r="D635" i="3"/>
  <c r="M635" i="3" s="1"/>
  <c r="E634" i="3"/>
  <c r="D634" i="3"/>
  <c r="M634" i="3" s="1"/>
  <c r="E633" i="3"/>
  <c r="D633" i="3"/>
  <c r="M633" i="3" s="1"/>
  <c r="E632" i="3"/>
  <c r="D632" i="3"/>
  <c r="M632" i="3" s="1"/>
  <c r="E631" i="3"/>
  <c r="D631" i="3"/>
  <c r="M631" i="3" s="1"/>
  <c r="E630" i="3"/>
  <c r="D630" i="3"/>
  <c r="M630" i="3" s="1"/>
  <c r="E629" i="3"/>
  <c r="D629" i="3"/>
  <c r="M629" i="3" s="1"/>
  <c r="E628" i="3"/>
  <c r="D628" i="3"/>
  <c r="M628" i="3" s="1"/>
  <c r="E627" i="3"/>
  <c r="D627" i="3"/>
  <c r="M627" i="3" s="1"/>
  <c r="E626" i="3"/>
  <c r="D626" i="3"/>
  <c r="M626" i="3" s="1"/>
  <c r="E625" i="3"/>
  <c r="D625" i="3"/>
  <c r="M625" i="3" s="1"/>
  <c r="E624" i="3"/>
  <c r="D624" i="3"/>
  <c r="M624" i="3" s="1"/>
  <c r="E623" i="3"/>
  <c r="D623" i="3"/>
  <c r="M623" i="3" s="1"/>
  <c r="E622" i="3"/>
  <c r="D622" i="3"/>
  <c r="M622" i="3" s="1"/>
  <c r="E621" i="3"/>
  <c r="D621" i="3"/>
  <c r="M621" i="3" s="1"/>
  <c r="E620" i="3"/>
  <c r="D620" i="3"/>
  <c r="M620" i="3" s="1"/>
  <c r="E619" i="3"/>
  <c r="D619" i="3"/>
  <c r="M619" i="3" s="1"/>
  <c r="E618" i="3"/>
  <c r="D618" i="3"/>
  <c r="M618" i="3" s="1"/>
  <c r="E617" i="3"/>
  <c r="D617" i="3"/>
  <c r="M617" i="3" s="1"/>
  <c r="E616" i="3"/>
  <c r="D616" i="3"/>
  <c r="M616" i="3" s="1"/>
  <c r="E615" i="3"/>
  <c r="D615" i="3"/>
  <c r="M615" i="3" s="1"/>
  <c r="E614" i="3"/>
  <c r="D614" i="3"/>
  <c r="M614" i="3" s="1"/>
  <c r="E613" i="3"/>
  <c r="D613" i="3"/>
  <c r="M613" i="3" s="1"/>
  <c r="E612" i="3"/>
  <c r="D612" i="3"/>
  <c r="M612" i="3" s="1"/>
  <c r="E611" i="3"/>
  <c r="D611" i="3"/>
  <c r="M611" i="3" s="1"/>
  <c r="E610" i="3"/>
  <c r="D610" i="3"/>
  <c r="M610" i="3" s="1"/>
  <c r="E609" i="3"/>
  <c r="D609" i="3"/>
  <c r="M609" i="3" s="1"/>
  <c r="E608" i="3"/>
  <c r="D608" i="3"/>
  <c r="M608" i="3" s="1"/>
  <c r="E607" i="3"/>
  <c r="D607" i="3"/>
  <c r="M607" i="3" s="1"/>
  <c r="E606" i="3"/>
  <c r="D606" i="3"/>
  <c r="M606" i="3" s="1"/>
  <c r="E605" i="3"/>
  <c r="D605" i="3"/>
  <c r="M605" i="3" s="1"/>
  <c r="E604" i="3"/>
  <c r="D604" i="3"/>
  <c r="M604" i="3" s="1"/>
  <c r="E603" i="3"/>
  <c r="D603" i="3"/>
  <c r="M603" i="3" s="1"/>
  <c r="E602" i="3"/>
  <c r="D602" i="3"/>
  <c r="M602" i="3" s="1"/>
  <c r="E601" i="3"/>
  <c r="D601" i="3"/>
  <c r="M601" i="3" s="1"/>
  <c r="E600" i="3"/>
  <c r="D600" i="3"/>
  <c r="M600" i="3" s="1"/>
  <c r="E599" i="3"/>
  <c r="D599" i="3"/>
  <c r="M599" i="3" s="1"/>
  <c r="E598" i="3"/>
  <c r="D598" i="3"/>
  <c r="M598" i="3" s="1"/>
  <c r="E597" i="3"/>
  <c r="D597" i="3"/>
  <c r="M597" i="3" s="1"/>
  <c r="E596" i="3"/>
  <c r="D596" i="3"/>
  <c r="M596" i="3" s="1"/>
  <c r="E595" i="3"/>
  <c r="D595" i="3"/>
  <c r="M595" i="3" s="1"/>
  <c r="E594" i="3"/>
  <c r="D594" i="3"/>
  <c r="M594" i="3" s="1"/>
  <c r="E593" i="3"/>
  <c r="D593" i="3"/>
  <c r="M593" i="3" s="1"/>
  <c r="E592" i="3"/>
  <c r="D592" i="3"/>
  <c r="M592" i="3" s="1"/>
  <c r="E591" i="3"/>
  <c r="D591" i="3"/>
  <c r="M591" i="3" s="1"/>
  <c r="E590" i="3"/>
  <c r="D590" i="3"/>
  <c r="M590" i="3" s="1"/>
  <c r="E589" i="3"/>
  <c r="D589" i="3"/>
  <c r="M589" i="3" s="1"/>
  <c r="E588" i="3"/>
  <c r="D588" i="3"/>
  <c r="M588" i="3" s="1"/>
  <c r="E587" i="3"/>
  <c r="D587" i="3"/>
  <c r="M587" i="3" s="1"/>
  <c r="E586" i="3"/>
  <c r="D586" i="3"/>
  <c r="M586" i="3" s="1"/>
  <c r="E585" i="3"/>
  <c r="D585" i="3"/>
  <c r="M585" i="3" s="1"/>
  <c r="E584" i="3"/>
  <c r="D584" i="3"/>
  <c r="M584" i="3" s="1"/>
  <c r="E583" i="3"/>
  <c r="D583" i="3"/>
  <c r="M583" i="3" s="1"/>
  <c r="E582" i="3"/>
  <c r="D582" i="3"/>
  <c r="M582" i="3" s="1"/>
  <c r="E581" i="3"/>
  <c r="D581" i="3"/>
  <c r="M581" i="3" s="1"/>
  <c r="E580" i="3"/>
  <c r="D580" i="3"/>
  <c r="M580" i="3" s="1"/>
  <c r="E579" i="3"/>
  <c r="D579" i="3"/>
  <c r="M579" i="3" s="1"/>
  <c r="E578" i="3"/>
  <c r="D578" i="3"/>
  <c r="M578" i="3" s="1"/>
  <c r="E577" i="3"/>
  <c r="D577" i="3"/>
  <c r="M577" i="3" s="1"/>
  <c r="E576" i="3"/>
  <c r="D576" i="3"/>
  <c r="M576" i="3" s="1"/>
  <c r="E575" i="3"/>
  <c r="D575" i="3"/>
  <c r="M575" i="3" s="1"/>
  <c r="E574" i="3"/>
  <c r="D574" i="3"/>
  <c r="M574" i="3" s="1"/>
  <c r="E573" i="3"/>
  <c r="D573" i="3"/>
  <c r="M573" i="3" s="1"/>
  <c r="E572" i="3"/>
  <c r="D572" i="3"/>
  <c r="M572" i="3" s="1"/>
  <c r="E571" i="3"/>
  <c r="D571" i="3"/>
  <c r="M571" i="3" s="1"/>
  <c r="E570" i="3"/>
  <c r="D570" i="3"/>
  <c r="M570" i="3" s="1"/>
  <c r="E569" i="3"/>
  <c r="D569" i="3"/>
  <c r="M569" i="3" s="1"/>
  <c r="E568" i="3"/>
  <c r="D568" i="3"/>
  <c r="M568" i="3" s="1"/>
  <c r="E567" i="3"/>
  <c r="D567" i="3"/>
  <c r="M567" i="3" s="1"/>
  <c r="E566" i="3"/>
  <c r="D566" i="3"/>
  <c r="M566" i="3" s="1"/>
  <c r="E565" i="3"/>
  <c r="D565" i="3"/>
  <c r="M565" i="3" s="1"/>
  <c r="E564" i="3"/>
  <c r="D564" i="3"/>
  <c r="M564" i="3" s="1"/>
  <c r="E563" i="3"/>
  <c r="D563" i="3"/>
  <c r="M563" i="3" s="1"/>
  <c r="E562" i="3"/>
  <c r="D562" i="3"/>
  <c r="M562" i="3" s="1"/>
  <c r="E561" i="3"/>
  <c r="D561" i="3"/>
  <c r="M561" i="3" s="1"/>
  <c r="E560" i="3"/>
  <c r="D560" i="3"/>
  <c r="M560" i="3" s="1"/>
  <c r="E559" i="3"/>
  <c r="D559" i="3"/>
  <c r="M559" i="3" s="1"/>
  <c r="E558" i="3"/>
  <c r="D558" i="3"/>
  <c r="M558" i="3" s="1"/>
  <c r="E557" i="3"/>
  <c r="D557" i="3"/>
  <c r="M557" i="3" s="1"/>
  <c r="E556" i="3"/>
  <c r="D556" i="3"/>
  <c r="M556" i="3" s="1"/>
  <c r="E555" i="3"/>
  <c r="D555" i="3"/>
  <c r="M555" i="3" s="1"/>
  <c r="E554" i="3"/>
  <c r="D554" i="3"/>
  <c r="M554" i="3" s="1"/>
  <c r="E553" i="3"/>
  <c r="D553" i="3"/>
  <c r="M553" i="3" s="1"/>
  <c r="E552" i="3"/>
  <c r="D552" i="3"/>
  <c r="M552" i="3" s="1"/>
  <c r="E551" i="3"/>
  <c r="D551" i="3"/>
  <c r="M551" i="3" s="1"/>
  <c r="E550" i="3"/>
  <c r="D550" i="3"/>
  <c r="M550" i="3" s="1"/>
  <c r="E549" i="3"/>
  <c r="D549" i="3"/>
  <c r="M549" i="3" s="1"/>
  <c r="E548" i="3"/>
  <c r="D548" i="3"/>
  <c r="M548" i="3" s="1"/>
  <c r="E547" i="3"/>
  <c r="D547" i="3"/>
  <c r="M547" i="3" s="1"/>
  <c r="E546" i="3"/>
  <c r="D546" i="3"/>
  <c r="M546" i="3" s="1"/>
  <c r="E545" i="3"/>
  <c r="D545" i="3"/>
  <c r="M545" i="3" s="1"/>
  <c r="E544" i="3"/>
  <c r="D544" i="3"/>
  <c r="M544" i="3" s="1"/>
  <c r="E543" i="3"/>
  <c r="D543" i="3"/>
  <c r="M543" i="3" s="1"/>
  <c r="E542" i="3"/>
  <c r="D542" i="3"/>
  <c r="M542" i="3" s="1"/>
  <c r="E541" i="3"/>
  <c r="D541" i="3"/>
  <c r="M541" i="3" s="1"/>
  <c r="E540" i="3"/>
  <c r="D540" i="3"/>
  <c r="M540" i="3" s="1"/>
  <c r="E539" i="3"/>
  <c r="D539" i="3"/>
  <c r="M539" i="3" s="1"/>
  <c r="E538" i="3"/>
  <c r="D538" i="3"/>
  <c r="M538" i="3" s="1"/>
  <c r="E537" i="3"/>
  <c r="D537" i="3"/>
  <c r="M537" i="3" s="1"/>
  <c r="E536" i="3"/>
  <c r="D536" i="3"/>
  <c r="M536" i="3" s="1"/>
  <c r="E535" i="3"/>
  <c r="D535" i="3"/>
  <c r="M535" i="3" s="1"/>
  <c r="E534" i="3"/>
  <c r="D534" i="3"/>
  <c r="M534" i="3" s="1"/>
  <c r="E533" i="3"/>
  <c r="D533" i="3"/>
  <c r="M533" i="3" s="1"/>
  <c r="E532" i="3"/>
  <c r="D532" i="3"/>
  <c r="M532" i="3" s="1"/>
  <c r="E531" i="3"/>
  <c r="D531" i="3"/>
  <c r="M531" i="3" s="1"/>
  <c r="E530" i="3"/>
  <c r="D530" i="3"/>
  <c r="M530" i="3" s="1"/>
  <c r="E529" i="3"/>
  <c r="D529" i="3"/>
  <c r="M529" i="3" s="1"/>
  <c r="E528" i="3"/>
  <c r="D528" i="3"/>
  <c r="M528" i="3" s="1"/>
  <c r="E527" i="3"/>
  <c r="D527" i="3"/>
  <c r="M527" i="3" s="1"/>
  <c r="E526" i="3"/>
  <c r="D526" i="3"/>
  <c r="M526" i="3" s="1"/>
  <c r="E525" i="3"/>
  <c r="D525" i="3"/>
  <c r="M525" i="3" s="1"/>
  <c r="E524" i="3"/>
  <c r="D524" i="3"/>
  <c r="M524" i="3" s="1"/>
  <c r="E523" i="3"/>
  <c r="D523" i="3"/>
  <c r="M523" i="3" s="1"/>
  <c r="E522" i="3"/>
  <c r="D522" i="3"/>
  <c r="M522" i="3" s="1"/>
  <c r="E521" i="3"/>
  <c r="D521" i="3"/>
  <c r="M521" i="3" s="1"/>
  <c r="E520" i="3"/>
  <c r="D520" i="3"/>
  <c r="M520" i="3" s="1"/>
  <c r="E519" i="3"/>
  <c r="D519" i="3"/>
  <c r="M519" i="3" s="1"/>
  <c r="E518" i="3"/>
  <c r="D518" i="3"/>
  <c r="M518" i="3" s="1"/>
  <c r="E517" i="3"/>
  <c r="D517" i="3"/>
  <c r="M517" i="3" s="1"/>
  <c r="E516" i="3"/>
  <c r="D516" i="3"/>
  <c r="M516" i="3" s="1"/>
  <c r="E515" i="3"/>
  <c r="D515" i="3"/>
  <c r="M515" i="3" s="1"/>
  <c r="E514" i="3"/>
  <c r="D514" i="3"/>
  <c r="M514" i="3" s="1"/>
  <c r="E513" i="3"/>
  <c r="D513" i="3"/>
  <c r="M513" i="3" s="1"/>
  <c r="E512" i="3"/>
  <c r="D512" i="3"/>
  <c r="M512" i="3" s="1"/>
  <c r="E511" i="3"/>
  <c r="D511" i="3"/>
  <c r="M511" i="3" s="1"/>
  <c r="E510" i="3"/>
  <c r="D510" i="3"/>
  <c r="M510" i="3" s="1"/>
  <c r="E509" i="3"/>
  <c r="D509" i="3"/>
  <c r="M509" i="3" s="1"/>
  <c r="E508" i="3"/>
  <c r="D508" i="3"/>
  <c r="M508" i="3" s="1"/>
  <c r="E507" i="3"/>
  <c r="D507" i="3"/>
  <c r="M507" i="3" s="1"/>
  <c r="E506" i="3"/>
  <c r="D506" i="3"/>
  <c r="M506" i="3" s="1"/>
  <c r="E505" i="3"/>
  <c r="D505" i="3"/>
  <c r="M505" i="3" s="1"/>
  <c r="E504" i="3"/>
  <c r="D504" i="3"/>
  <c r="M504" i="3" s="1"/>
  <c r="E503" i="3"/>
  <c r="D503" i="3"/>
  <c r="M503" i="3" s="1"/>
  <c r="E502" i="3"/>
  <c r="D502" i="3"/>
  <c r="M502" i="3" s="1"/>
  <c r="E501" i="3"/>
  <c r="D501" i="3"/>
  <c r="M501" i="3" s="1"/>
  <c r="E500" i="3"/>
  <c r="D500" i="3"/>
  <c r="M500" i="3" s="1"/>
  <c r="E499" i="3"/>
  <c r="D499" i="3"/>
  <c r="M499" i="3" s="1"/>
  <c r="E498" i="3"/>
  <c r="D498" i="3"/>
  <c r="M498" i="3" s="1"/>
  <c r="E497" i="3"/>
  <c r="D497" i="3"/>
  <c r="M497" i="3" s="1"/>
  <c r="E496" i="3"/>
  <c r="D496" i="3"/>
  <c r="M496" i="3" s="1"/>
  <c r="E495" i="3"/>
  <c r="D495" i="3"/>
  <c r="M495" i="3" s="1"/>
  <c r="E494" i="3"/>
  <c r="D494" i="3"/>
  <c r="M494" i="3" s="1"/>
  <c r="E493" i="3"/>
  <c r="D493" i="3"/>
  <c r="M493" i="3" s="1"/>
  <c r="E492" i="3"/>
  <c r="D492" i="3"/>
  <c r="M492" i="3" s="1"/>
  <c r="E491" i="3"/>
  <c r="D491" i="3"/>
  <c r="M491" i="3" s="1"/>
  <c r="E490" i="3"/>
  <c r="D490" i="3"/>
  <c r="M490" i="3" s="1"/>
  <c r="E489" i="3"/>
  <c r="D489" i="3"/>
  <c r="M489" i="3" s="1"/>
  <c r="E488" i="3"/>
  <c r="D488" i="3"/>
  <c r="M488" i="3" s="1"/>
  <c r="E487" i="3"/>
  <c r="D487" i="3"/>
  <c r="M487" i="3" s="1"/>
  <c r="E486" i="3"/>
  <c r="D486" i="3"/>
  <c r="M486" i="3" s="1"/>
  <c r="E485" i="3"/>
  <c r="D485" i="3"/>
  <c r="M485" i="3" s="1"/>
  <c r="E484" i="3"/>
  <c r="D484" i="3"/>
  <c r="M484" i="3" s="1"/>
  <c r="E483" i="3"/>
  <c r="D483" i="3"/>
  <c r="M483" i="3" s="1"/>
  <c r="E482" i="3"/>
  <c r="D482" i="3"/>
  <c r="M482" i="3" s="1"/>
  <c r="E481" i="3"/>
  <c r="D481" i="3"/>
  <c r="M481" i="3" s="1"/>
  <c r="E480" i="3"/>
  <c r="D480" i="3"/>
  <c r="M480" i="3" s="1"/>
  <c r="E479" i="3"/>
  <c r="D479" i="3"/>
  <c r="M479" i="3" s="1"/>
  <c r="E478" i="3"/>
  <c r="D478" i="3"/>
  <c r="M478" i="3" s="1"/>
  <c r="E477" i="3"/>
  <c r="D477" i="3"/>
  <c r="M477" i="3" s="1"/>
  <c r="E476" i="3"/>
  <c r="D476" i="3"/>
  <c r="M476" i="3" s="1"/>
  <c r="E475" i="3"/>
  <c r="D475" i="3"/>
  <c r="M475" i="3" s="1"/>
  <c r="E474" i="3"/>
  <c r="D474" i="3"/>
  <c r="M474" i="3" s="1"/>
  <c r="E473" i="3"/>
  <c r="D473" i="3"/>
  <c r="M473" i="3" s="1"/>
  <c r="E472" i="3"/>
  <c r="D472" i="3"/>
  <c r="M472" i="3" s="1"/>
  <c r="E471" i="3"/>
  <c r="D471" i="3"/>
  <c r="M471" i="3" s="1"/>
  <c r="E470" i="3"/>
  <c r="D470" i="3"/>
  <c r="M470" i="3" s="1"/>
  <c r="E469" i="3"/>
  <c r="D469" i="3"/>
  <c r="M469" i="3" s="1"/>
  <c r="E468" i="3"/>
  <c r="D468" i="3"/>
  <c r="M468" i="3" s="1"/>
  <c r="E467" i="3"/>
  <c r="D467" i="3"/>
  <c r="M467" i="3" s="1"/>
  <c r="E466" i="3"/>
  <c r="D466" i="3"/>
  <c r="M466" i="3" s="1"/>
  <c r="E465" i="3"/>
  <c r="D465" i="3"/>
  <c r="M465" i="3" s="1"/>
  <c r="E464" i="3"/>
  <c r="D464" i="3"/>
  <c r="M464" i="3" s="1"/>
  <c r="E463" i="3"/>
  <c r="D463" i="3"/>
  <c r="M463" i="3" s="1"/>
  <c r="E462" i="3"/>
  <c r="D462" i="3"/>
  <c r="M462" i="3" s="1"/>
  <c r="E461" i="3"/>
  <c r="D461" i="3"/>
  <c r="M461" i="3" s="1"/>
  <c r="E460" i="3"/>
  <c r="D460" i="3"/>
  <c r="M460" i="3" s="1"/>
  <c r="E459" i="3"/>
  <c r="D459" i="3"/>
  <c r="M459" i="3" s="1"/>
  <c r="E458" i="3"/>
  <c r="D458" i="3"/>
  <c r="M458" i="3" s="1"/>
  <c r="E457" i="3"/>
  <c r="D457" i="3"/>
  <c r="M457" i="3" s="1"/>
  <c r="E456" i="3"/>
  <c r="D456" i="3"/>
  <c r="M456" i="3" s="1"/>
  <c r="E455" i="3"/>
  <c r="D455" i="3"/>
  <c r="M455" i="3" s="1"/>
  <c r="E454" i="3"/>
  <c r="D454" i="3"/>
  <c r="M454" i="3" s="1"/>
  <c r="E453" i="3"/>
  <c r="D453" i="3"/>
  <c r="M453" i="3" s="1"/>
  <c r="E452" i="3"/>
  <c r="D452" i="3"/>
  <c r="M452" i="3" s="1"/>
  <c r="E451" i="3"/>
  <c r="D451" i="3"/>
  <c r="M451" i="3" s="1"/>
  <c r="E450" i="3"/>
  <c r="D450" i="3"/>
  <c r="M450" i="3" s="1"/>
  <c r="E449" i="3"/>
  <c r="D449" i="3"/>
  <c r="M449" i="3" s="1"/>
  <c r="E448" i="3"/>
  <c r="D448" i="3"/>
  <c r="M448" i="3" s="1"/>
  <c r="E447" i="3"/>
  <c r="D447" i="3"/>
  <c r="M447" i="3" s="1"/>
  <c r="E446" i="3"/>
  <c r="D446" i="3"/>
  <c r="M446" i="3" s="1"/>
  <c r="E445" i="3"/>
  <c r="D445" i="3"/>
  <c r="M445" i="3" s="1"/>
  <c r="E444" i="3"/>
  <c r="D444" i="3"/>
  <c r="M444" i="3" s="1"/>
  <c r="E443" i="3"/>
  <c r="D443" i="3"/>
  <c r="M443" i="3" s="1"/>
  <c r="E442" i="3"/>
  <c r="D442" i="3"/>
  <c r="M442" i="3" s="1"/>
  <c r="E441" i="3"/>
  <c r="D441" i="3"/>
  <c r="M441" i="3" s="1"/>
  <c r="E440" i="3"/>
  <c r="D440" i="3"/>
  <c r="M440" i="3" s="1"/>
  <c r="E439" i="3"/>
  <c r="D439" i="3"/>
  <c r="M439" i="3" s="1"/>
  <c r="E438" i="3"/>
  <c r="D438" i="3"/>
  <c r="M438" i="3" s="1"/>
  <c r="E437" i="3"/>
  <c r="D437" i="3"/>
  <c r="M437" i="3" s="1"/>
  <c r="E436" i="3"/>
  <c r="D436" i="3"/>
  <c r="M436" i="3" s="1"/>
  <c r="E435" i="3"/>
  <c r="D435" i="3"/>
  <c r="M435" i="3" s="1"/>
  <c r="E434" i="3"/>
  <c r="D434" i="3"/>
  <c r="M434" i="3" s="1"/>
  <c r="E433" i="3"/>
  <c r="D433" i="3"/>
  <c r="M433" i="3" s="1"/>
  <c r="E432" i="3"/>
  <c r="D432" i="3"/>
  <c r="M432" i="3" s="1"/>
  <c r="E431" i="3"/>
  <c r="D431" i="3"/>
  <c r="M431" i="3" s="1"/>
  <c r="E430" i="3"/>
  <c r="D430" i="3"/>
  <c r="M430" i="3" s="1"/>
  <c r="E429" i="3"/>
  <c r="D429" i="3"/>
  <c r="M429" i="3" s="1"/>
  <c r="E428" i="3"/>
  <c r="D428" i="3"/>
  <c r="M428" i="3" s="1"/>
  <c r="E427" i="3"/>
  <c r="D427" i="3"/>
  <c r="M427" i="3" s="1"/>
  <c r="E426" i="3"/>
  <c r="D426" i="3"/>
  <c r="M426" i="3" s="1"/>
  <c r="E425" i="3"/>
  <c r="D425" i="3"/>
  <c r="M425" i="3" s="1"/>
  <c r="E424" i="3"/>
  <c r="D424" i="3"/>
  <c r="M424" i="3" s="1"/>
  <c r="E423" i="3"/>
  <c r="D423" i="3"/>
  <c r="M423" i="3" s="1"/>
  <c r="E422" i="3"/>
  <c r="D422" i="3"/>
  <c r="M422" i="3" s="1"/>
  <c r="E421" i="3"/>
  <c r="D421" i="3"/>
  <c r="M421" i="3" s="1"/>
  <c r="E420" i="3"/>
  <c r="D420" i="3"/>
  <c r="M420" i="3" s="1"/>
  <c r="E419" i="3"/>
  <c r="D419" i="3"/>
  <c r="M419" i="3" s="1"/>
  <c r="E418" i="3"/>
  <c r="D418" i="3"/>
  <c r="M418" i="3" s="1"/>
  <c r="E417" i="3"/>
  <c r="D417" i="3"/>
  <c r="M417" i="3" s="1"/>
  <c r="E416" i="3"/>
  <c r="D416" i="3"/>
  <c r="M416" i="3" s="1"/>
  <c r="E415" i="3"/>
  <c r="D415" i="3"/>
  <c r="M415" i="3" s="1"/>
  <c r="E414" i="3"/>
  <c r="D414" i="3"/>
  <c r="M414" i="3" s="1"/>
  <c r="E413" i="3"/>
  <c r="D413" i="3"/>
  <c r="M413" i="3" s="1"/>
  <c r="E412" i="3"/>
  <c r="D412" i="3"/>
  <c r="M412" i="3" s="1"/>
  <c r="E411" i="3"/>
  <c r="D411" i="3"/>
  <c r="M411" i="3" s="1"/>
  <c r="E410" i="3"/>
  <c r="D410" i="3"/>
  <c r="M410" i="3" s="1"/>
  <c r="E409" i="3"/>
  <c r="D409" i="3"/>
  <c r="M409" i="3" s="1"/>
  <c r="E408" i="3"/>
  <c r="D408" i="3"/>
  <c r="M408" i="3" s="1"/>
  <c r="E407" i="3"/>
  <c r="D407" i="3"/>
  <c r="M407" i="3" s="1"/>
  <c r="E406" i="3"/>
  <c r="D406" i="3"/>
  <c r="M406" i="3" s="1"/>
  <c r="E405" i="3"/>
  <c r="D405" i="3"/>
  <c r="M405" i="3" s="1"/>
  <c r="E404" i="3"/>
  <c r="D404" i="3"/>
  <c r="M404" i="3" s="1"/>
  <c r="E403" i="3"/>
  <c r="D403" i="3"/>
  <c r="M403" i="3" s="1"/>
  <c r="E402" i="3"/>
  <c r="D402" i="3"/>
  <c r="M402" i="3" s="1"/>
  <c r="E401" i="3"/>
  <c r="D401" i="3"/>
  <c r="M401" i="3" s="1"/>
  <c r="E400" i="3"/>
  <c r="D400" i="3"/>
  <c r="M400" i="3" s="1"/>
  <c r="E399" i="3"/>
  <c r="D399" i="3"/>
  <c r="M399" i="3" s="1"/>
  <c r="E398" i="3"/>
  <c r="D398" i="3"/>
  <c r="M398" i="3" s="1"/>
  <c r="E397" i="3"/>
  <c r="D397" i="3"/>
  <c r="M397" i="3" s="1"/>
  <c r="E396" i="3"/>
  <c r="D396" i="3"/>
  <c r="M396" i="3" s="1"/>
  <c r="E395" i="3"/>
  <c r="D395" i="3"/>
  <c r="M395" i="3" s="1"/>
  <c r="E394" i="3"/>
  <c r="D394" i="3"/>
  <c r="M394" i="3" s="1"/>
  <c r="E393" i="3"/>
  <c r="D393" i="3"/>
  <c r="M393" i="3" s="1"/>
  <c r="E392" i="3"/>
  <c r="D392" i="3"/>
  <c r="M392" i="3" s="1"/>
  <c r="E391" i="3"/>
  <c r="D391" i="3"/>
  <c r="M391" i="3" s="1"/>
  <c r="E390" i="3"/>
  <c r="D390" i="3"/>
  <c r="M390" i="3" s="1"/>
  <c r="E389" i="3"/>
  <c r="D389" i="3"/>
  <c r="M389" i="3" s="1"/>
  <c r="E388" i="3"/>
  <c r="D388" i="3"/>
  <c r="M388" i="3" s="1"/>
  <c r="E387" i="3"/>
  <c r="D387" i="3"/>
  <c r="M387" i="3" s="1"/>
  <c r="E386" i="3"/>
  <c r="D386" i="3"/>
  <c r="M386" i="3" s="1"/>
  <c r="E385" i="3"/>
  <c r="D385" i="3"/>
  <c r="M385" i="3" s="1"/>
  <c r="E384" i="3"/>
  <c r="D384" i="3"/>
  <c r="M384" i="3" s="1"/>
  <c r="E383" i="3"/>
  <c r="D383" i="3"/>
  <c r="M383" i="3" s="1"/>
  <c r="E382" i="3"/>
  <c r="D382" i="3"/>
  <c r="M382" i="3" s="1"/>
  <c r="E381" i="3"/>
  <c r="D381" i="3"/>
  <c r="M381" i="3" s="1"/>
  <c r="E380" i="3"/>
  <c r="D380" i="3"/>
  <c r="M380" i="3" s="1"/>
  <c r="E379" i="3"/>
  <c r="D379" i="3"/>
  <c r="M379" i="3" s="1"/>
  <c r="E378" i="3"/>
  <c r="D378" i="3"/>
  <c r="M378" i="3" s="1"/>
  <c r="E377" i="3"/>
  <c r="D377" i="3"/>
  <c r="M377" i="3" s="1"/>
  <c r="E376" i="3"/>
  <c r="D376" i="3"/>
  <c r="M376" i="3" s="1"/>
  <c r="E375" i="3"/>
  <c r="D375" i="3"/>
  <c r="M375" i="3" s="1"/>
  <c r="E374" i="3"/>
  <c r="D374" i="3"/>
  <c r="M374" i="3" s="1"/>
  <c r="E373" i="3"/>
  <c r="D373" i="3"/>
  <c r="M373" i="3" s="1"/>
  <c r="E372" i="3"/>
  <c r="D372" i="3"/>
  <c r="M372" i="3" s="1"/>
  <c r="E371" i="3"/>
  <c r="D371" i="3"/>
  <c r="M371" i="3" s="1"/>
  <c r="E370" i="3"/>
  <c r="D370" i="3"/>
  <c r="M370" i="3" s="1"/>
  <c r="E369" i="3"/>
  <c r="D369" i="3"/>
  <c r="M369" i="3" s="1"/>
  <c r="E368" i="3"/>
  <c r="D368" i="3"/>
  <c r="M368" i="3" s="1"/>
  <c r="E367" i="3"/>
  <c r="D367" i="3"/>
  <c r="M367" i="3" s="1"/>
  <c r="E366" i="3"/>
  <c r="D366" i="3"/>
  <c r="M366" i="3" s="1"/>
  <c r="E365" i="3"/>
  <c r="D365" i="3"/>
  <c r="M365" i="3" s="1"/>
  <c r="E364" i="3"/>
  <c r="D364" i="3"/>
  <c r="M364" i="3" s="1"/>
  <c r="E363" i="3"/>
  <c r="D363" i="3"/>
  <c r="M363" i="3" s="1"/>
  <c r="E51" i="1" l="1"/>
  <c r="E52" i="1" s="1"/>
  <c r="I52" i="1"/>
  <c r="I53" i="1" s="1"/>
  <c r="F33" i="1"/>
  <c r="F26" i="1"/>
  <c r="E59" i="1" s="1"/>
  <c r="F30" i="1"/>
  <c r="L25" i="1"/>
  <c r="B15" i="3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K3" i="3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E60" i="1" l="1"/>
  <c r="E61" i="1" s="1"/>
  <c r="H30" i="1"/>
  <c r="G30" i="1" s="1"/>
  <c r="E30" i="1" s="1"/>
  <c r="J30" i="1"/>
  <c r="I34" i="1"/>
  <c r="E102" i="1" s="1"/>
  <c r="J26" i="1"/>
  <c r="H26" i="1"/>
  <c r="G26" i="1" s="1"/>
  <c r="E26" i="1" s="1"/>
  <c r="B244" i="3"/>
  <c r="A16" i="3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C14" i="2"/>
  <c r="C13" i="2"/>
  <c r="C12" i="2"/>
  <c r="C11" i="2"/>
  <c r="C10" i="2"/>
  <c r="C9" i="2"/>
  <c r="C8" i="2"/>
  <c r="C7" i="2"/>
  <c r="C6" i="2"/>
  <c r="L19" i="1"/>
  <c r="P5" i="1"/>
  <c r="F34" i="1" l="1"/>
  <c r="F35" i="1" s="1"/>
  <c r="I35" i="1"/>
  <c r="L29" i="1"/>
  <c r="A244" i="3"/>
  <c r="B245" i="3"/>
  <c r="E338" i="3"/>
  <c r="E346" i="3"/>
  <c r="E354" i="3"/>
  <c r="E362" i="3"/>
  <c r="E315" i="3"/>
  <c r="E323" i="3"/>
  <c r="E331" i="3"/>
  <c r="E246" i="3"/>
  <c r="E254" i="3"/>
  <c r="E262" i="3"/>
  <c r="E270" i="3"/>
  <c r="E278" i="3"/>
  <c r="E286" i="3"/>
  <c r="E294" i="3"/>
  <c r="E302" i="3"/>
  <c r="E310" i="3"/>
  <c r="E274" i="3"/>
  <c r="E291" i="3"/>
  <c r="E352" i="3"/>
  <c r="E276" i="3"/>
  <c r="E339" i="3"/>
  <c r="E347" i="3"/>
  <c r="E355" i="3"/>
  <c r="E316" i="3"/>
  <c r="E324" i="3"/>
  <c r="E332" i="3"/>
  <c r="E247" i="3"/>
  <c r="E255" i="3"/>
  <c r="E263" i="3"/>
  <c r="E271" i="3"/>
  <c r="E279" i="3"/>
  <c r="E287" i="3"/>
  <c r="E295" i="3"/>
  <c r="E303" i="3"/>
  <c r="E258" i="3"/>
  <c r="E306" i="3"/>
  <c r="E313" i="3"/>
  <c r="E252" i="3"/>
  <c r="E292" i="3"/>
  <c r="E340" i="3"/>
  <c r="E348" i="3"/>
  <c r="E356" i="3"/>
  <c r="E311" i="3"/>
  <c r="E317" i="3"/>
  <c r="E325" i="3"/>
  <c r="E333" i="3"/>
  <c r="E248" i="3"/>
  <c r="E256" i="3"/>
  <c r="E264" i="3"/>
  <c r="E272" i="3"/>
  <c r="E280" i="3"/>
  <c r="E288" i="3"/>
  <c r="E296" i="3"/>
  <c r="E304" i="3"/>
  <c r="E250" i="3"/>
  <c r="E290" i="3"/>
  <c r="E307" i="3"/>
  <c r="E344" i="3"/>
  <c r="E244" i="3"/>
  <c r="E300" i="3"/>
  <c r="E341" i="3"/>
  <c r="E349" i="3"/>
  <c r="E357" i="3"/>
  <c r="E318" i="3"/>
  <c r="E326" i="3"/>
  <c r="E334" i="3"/>
  <c r="E249" i="3"/>
  <c r="E257" i="3"/>
  <c r="E265" i="3"/>
  <c r="E273" i="3"/>
  <c r="E281" i="3"/>
  <c r="E289" i="3"/>
  <c r="E297" i="3"/>
  <c r="E305" i="3"/>
  <c r="E266" i="3"/>
  <c r="E298" i="3"/>
  <c r="E299" i="3"/>
  <c r="E336" i="3"/>
  <c r="E329" i="3"/>
  <c r="E268" i="3"/>
  <c r="E342" i="3"/>
  <c r="E350" i="3"/>
  <c r="E358" i="3"/>
  <c r="E312" i="3"/>
  <c r="E319" i="3"/>
  <c r="E327" i="3"/>
  <c r="E360" i="3"/>
  <c r="E284" i="3"/>
  <c r="E335" i="3"/>
  <c r="E343" i="3"/>
  <c r="E351" i="3"/>
  <c r="E359" i="3"/>
  <c r="E320" i="3"/>
  <c r="E328" i="3"/>
  <c r="E243" i="3"/>
  <c r="E251" i="3"/>
  <c r="E259" i="3"/>
  <c r="E267" i="3"/>
  <c r="E275" i="3"/>
  <c r="E337" i="3"/>
  <c r="E345" i="3"/>
  <c r="E353" i="3"/>
  <c r="E361" i="3"/>
  <c r="E314" i="3"/>
  <c r="E322" i="3"/>
  <c r="E330" i="3"/>
  <c r="E245" i="3"/>
  <c r="E253" i="3"/>
  <c r="E261" i="3"/>
  <c r="E269" i="3"/>
  <c r="E277" i="3"/>
  <c r="E285" i="3"/>
  <c r="E293" i="3"/>
  <c r="E301" i="3"/>
  <c r="E309" i="3"/>
  <c r="E282" i="3"/>
  <c r="E283" i="3"/>
  <c r="E321" i="3"/>
  <c r="E260" i="3"/>
  <c r="E308" i="3"/>
  <c r="E42" i="3"/>
  <c r="E50" i="3"/>
  <c r="E58" i="3"/>
  <c r="E66" i="3"/>
  <c r="E74" i="3"/>
  <c r="E82" i="3"/>
  <c r="E90" i="3"/>
  <c r="E98" i="3"/>
  <c r="E106" i="3"/>
  <c r="E114" i="3"/>
  <c r="E122" i="3"/>
  <c r="E130" i="3"/>
  <c r="E138" i="3"/>
  <c r="E146" i="3"/>
  <c r="E154" i="3"/>
  <c r="E162" i="3"/>
  <c r="E170" i="3"/>
  <c r="E178" i="3"/>
  <c r="E186" i="3"/>
  <c r="E194" i="3"/>
  <c r="E202" i="3"/>
  <c r="E210" i="3"/>
  <c r="E218" i="3"/>
  <c r="E226" i="3"/>
  <c r="E234" i="3"/>
  <c r="E242" i="3"/>
  <c r="E20" i="3"/>
  <c r="E28" i="3"/>
  <c r="E4" i="3"/>
  <c r="E43" i="3"/>
  <c r="E51" i="3"/>
  <c r="E59" i="3"/>
  <c r="E67" i="3"/>
  <c r="E75" i="3"/>
  <c r="E83" i="3"/>
  <c r="E91" i="3"/>
  <c r="E99" i="3"/>
  <c r="E107" i="3"/>
  <c r="E115" i="3"/>
  <c r="E123" i="3"/>
  <c r="E131" i="3"/>
  <c r="E139" i="3"/>
  <c r="E147" i="3"/>
  <c r="E155" i="3"/>
  <c r="E163" i="3"/>
  <c r="E171" i="3"/>
  <c r="E179" i="3"/>
  <c r="E187" i="3"/>
  <c r="E195" i="3"/>
  <c r="E203" i="3"/>
  <c r="E211" i="3"/>
  <c r="E219" i="3"/>
  <c r="E227" i="3"/>
  <c r="E235" i="3"/>
  <c r="E5" i="3"/>
  <c r="E13" i="3"/>
  <c r="E21" i="3"/>
  <c r="E29" i="3"/>
  <c r="E41" i="3"/>
  <c r="E97" i="3"/>
  <c r="E129" i="3"/>
  <c r="E161" i="3"/>
  <c r="E185" i="3"/>
  <c r="E217" i="3"/>
  <c r="E11" i="3"/>
  <c r="E36" i="3"/>
  <c r="E44" i="3"/>
  <c r="E52" i="3"/>
  <c r="E60" i="3"/>
  <c r="E68" i="3"/>
  <c r="E76" i="3"/>
  <c r="E84" i="3"/>
  <c r="E92" i="3"/>
  <c r="E100" i="3"/>
  <c r="E108" i="3"/>
  <c r="E116" i="3"/>
  <c r="E124" i="3"/>
  <c r="E132" i="3"/>
  <c r="E140" i="3"/>
  <c r="E148" i="3"/>
  <c r="E156" i="3"/>
  <c r="E164" i="3"/>
  <c r="E172" i="3"/>
  <c r="E180" i="3"/>
  <c r="E188" i="3"/>
  <c r="E196" i="3"/>
  <c r="E204" i="3"/>
  <c r="E212" i="3"/>
  <c r="E220" i="3"/>
  <c r="E228" i="3"/>
  <c r="E236" i="3"/>
  <c r="E6" i="3"/>
  <c r="E14" i="3"/>
  <c r="E22" i="3"/>
  <c r="E30" i="3"/>
  <c r="E3" i="3"/>
  <c r="E57" i="3"/>
  <c r="E65" i="3"/>
  <c r="E81" i="3"/>
  <c r="E113" i="3"/>
  <c r="E137" i="3"/>
  <c r="E169" i="3"/>
  <c r="E233" i="3"/>
  <c r="E37" i="3"/>
  <c r="E45" i="3"/>
  <c r="E53" i="3"/>
  <c r="E61" i="3"/>
  <c r="E69" i="3"/>
  <c r="E77" i="3"/>
  <c r="E85" i="3"/>
  <c r="E93" i="3"/>
  <c r="E101" i="3"/>
  <c r="E109" i="3"/>
  <c r="E117" i="3"/>
  <c r="E125" i="3"/>
  <c r="E133" i="3"/>
  <c r="E141" i="3"/>
  <c r="E149" i="3"/>
  <c r="E157" i="3"/>
  <c r="E165" i="3"/>
  <c r="E173" i="3"/>
  <c r="E181" i="3"/>
  <c r="E189" i="3"/>
  <c r="E197" i="3"/>
  <c r="E205" i="3"/>
  <c r="E213" i="3"/>
  <c r="E221" i="3"/>
  <c r="E229" i="3"/>
  <c r="E237" i="3"/>
  <c r="E7" i="3"/>
  <c r="E15" i="3"/>
  <c r="E23" i="3"/>
  <c r="E31" i="3"/>
  <c r="E49" i="3"/>
  <c r="E105" i="3"/>
  <c r="E121" i="3"/>
  <c r="E145" i="3"/>
  <c r="E177" i="3"/>
  <c r="E209" i="3"/>
  <c r="E241" i="3"/>
  <c r="E38" i="3"/>
  <c r="E46" i="3"/>
  <c r="E54" i="3"/>
  <c r="E62" i="3"/>
  <c r="E70" i="3"/>
  <c r="E78" i="3"/>
  <c r="E86" i="3"/>
  <c r="E94" i="3"/>
  <c r="E102" i="3"/>
  <c r="E110" i="3"/>
  <c r="E118" i="3"/>
  <c r="E126" i="3"/>
  <c r="E134" i="3"/>
  <c r="E142" i="3"/>
  <c r="E150" i="3"/>
  <c r="E158" i="3"/>
  <c r="E166" i="3"/>
  <c r="E174" i="3"/>
  <c r="E182" i="3"/>
  <c r="E190" i="3"/>
  <c r="E198" i="3"/>
  <c r="E206" i="3"/>
  <c r="E214" i="3"/>
  <c r="E222" i="3"/>
  <c r="E230" i="3"/>
  <c r="E238" i="3"/>
  <c r="E8" i="3"/>
  <c r="E16" i="3"/>
  <c r="E24" i="3"/>
  <c r="E32" i="3"/>
  <c r="E89" i="3"/>
  <c r="E201" i="3"/>
  <c r="E27" i="3"/>
  <c r="E39" i="3"/>
  <c r="E47" i="3"/>
  <c r="E55" i="3"/>
  <c r="E63" i="3"/>
  <c r="E71" i="3"/>
  <c r="E79" i="3"/>
  <c r="E87" i="3"/>
  <c r="E95" i="3"/>
  <c r="E103" i="3"/>
  <c r="E111" i="3"/>
  <c r="E119" i="3"/>
  <c r="E127" i="3"/>
  <c r="E135" i="3"/>
  <c r="E143" i="3"/>
  <c r="E151" i="3"/>
  <c r="E159" i="3"/>
  <c r="E167" i="3"/>
  <c r="E175" i="3"/>
  <c r="E183" i="3"/>
  <c r="E191" i="3"/>
  <c r="E199" i="3"/>
  <c r="E207" i="3"/>
  <c r="E215" i="3"/>
  <c r="E223" i="3"/>
  <c r="E231" i="3"/>
  <c r="E239" i="3"/>
  <c r="E9" i="3"/>
  <c r="E17" i="3"/>
  <c r="E25" i="3"/>
  <c r="E33" i="3"/>
  <c r="E73" i="3"/>
  <c r="E153" i="3"/>
  <c r="E193" i="3"/>
  <c r="E225" i="3"/>
  <c r="E19" i="3"/>
  <c r="E40" i="3"/>
  <c r="E48" i="3"/>
  <c r="E56" i="3"/>
  <c r="E64" i="3"/>
  <c r="E72" i="3"/>
  <c r="E80" i="3"/>
  <c r="E88" i="3"/>
  <c r="E96" i="3"/>
  <c r="E104" i="3"/>
  <c r="E112" i="3"/>
  <c r="E120" i="3"/>
  <c r="E128" i="3"/>
  <c r="E136" i="3"/>
  <c r="E144" i="3"/>
  <c r="E152" i="3"/>
  <c r="E160" i="3"/>
  <c r="E168" i="3"/>
  <c r="E176" i="3"/>
  <c r="E184" i="3"/>
  <c r="E192" i="3"/>
  <c r="E200" i="3"/>
  <c r="E208" i="3"/>
  <c r="E216" i="3"/>
  <c r="E224" i="3"/>
  <c r="E232" i="3"/>
  <c r="E240" i="3"/>
  <c r="E10" i="3"/>
  <c r="E18" i="3"/>
  <c r="E26" i="3"/>
  <c r="E34" i="3"/>
  <c r="E35" i="3"/>
  <c r="D356" i="3"/>
  <c r="M356" i="3" s="1"/>
  <c r="D360" i="3"/>
  <c r="M360" i="3" s="1"/>
  <c r="D311" i="3"/>
  <c r="M311" i="3" s="1"/>
  <c r="D314" i="3"/>
  <c r="M314" i="3" s="1"/>
  <c r="D325" i="3"/>
  <c r="M325" i="3" s="1"/>
  <c r="D329" i="3"/>
  <c r="M329" i="3" s="1"/>
  <c r="D244" i="3"/>
  <c r="M244" i="3" s="1"/>
  <c r="D248" i="3"/>
  <c r="M248" i="3" s="1"/>
  <c r="D255" i="3"/>
  <c r="M255" i="3" s="1"/>
  <c r="D259" i="3"/>
  <c r="M259" i="3" s="1"/>
  <c r="D263" i="3"/>
  <c r="M263" i="3" s="1"/>
  <c r="D274" i="3"/>
  <c r="M274" i="3" s="1"/>
  <c r="D278" i="3"/>
  <c r="M278" i="3" s="1"/>
  <c r="D282" i="3"/>
  <c r="M282" i="3" s="1"/>
  <c r="D289" i="3"/>
  <c r="M289" i="3" s="1"/>
  <c r="D300" i="3"/>
  <c r="M300" i="3" s="1"/>
  <c r="D304" i="3"/>
  <c r="M304" i="3" s="1"/>
  <c r="D308" i="3"/>
  <c r="M308" i="3" s="1"/>
  <c r="D309" i="3"/>
  <c r="M309" i="3" s="1"/>
  <c r="D338" i="3"/>
  <c r="M338" i="3" s="1"/>
  <c r="D341" i="3"/>
  <c r="M341" i="3" s="1"/>
  <c r="D345" i="3"/>
  <c r="M345" i="3" s="1"/>
  <c r="D349" i="3"/>
  <c r="M349" i="3" s="1"/>
  <c r="D353" i="3"/>
  <c r="M353" i="3" s="1"/>
  <c r="D318" i="3"/>
  <c r="M318" i="3" s="1"/>
  <c r="D333" i="3"/>
  <c r="M333" i="3" s="1"/>
  <c r="D252" i="3"/>
  <c r="M252" i="3" s="1"/>
  <c r="D267" i="3"/>
  <c r="M267" i="3" s="1"/>
  <c r="D286" i="3"/>
  <c r="M286" i="3" s="1"/>
  <c r="D293" i="3"/>
  <c r="M293" i="3" s="1"/>
  <c r="D297" i="3"/>
  <c r="M297" i="3" s="1"/>
  <c r="D305" i="3"/>
  <c r="M305" i="3" s="1"/>
  <c r="D357" i="3"/>
  <c r="M357" i="3" s="1"/>
  <c r="D361" i="3"/>
  <c r="M361" i="3" s="1"/>
  <c r="D322" i="3"/>
  <c r="M322" i="3" s="1"/>
  <c r="D326" i="3"/>
  <c r="M326" i="3" s="1"/>
  <c r="D330" i="3"/>
  <c r="M330" i="3" s="1"/>
  <c r="D245" i="3"/>
  <c r="M245" i="3" s="1"/>
  <c r="D249" i="3"/>
  <c r="M249" i="3" s="1"/>
  <c r="D256" i="3"/>
  <c r="M256" i="3" s="1"/>
  <c r="D260" i="3"/>
  <c r="M260" i="3" s="1"/>
  <c r="D264" i="3"/>
  <c r="M264" i="3" s="1"/>
  <c r="D271" i="3"/>
  <c r="M271" i="3" s="1"/>
  <c r="D275" i="3"/>
  <c r="M275" i="3" s="1"/>
  <c r="D279" i="3"/>
  <c r="M279" i="3" s="1"/>
  <c r="D290" i="3"/>
  <c r="M290" i="3" s="1"/>
  <c r="D301" i="3"/>
  <c r="M301" i="3" s="1"/>
  <c r="D339" i="3"/>
  <c r="M339" i="3" s="1"/>
  <c r="D358" i="3"/>
  <c r="M358" i="3" s="1"/>
  <c r="D323" i="3"/>
  <c r="M323" i="3" s="1"/>
  <c r="D327" i="3"/>
  <c r="M327" i="3" s="1"/>
  <c r="D246" i="3"/>
  <c r="M246" i="3" s="1"/>
  <c r="D257" i="3"/>
  <c r="M257" i="3" s="1"/>
  <c r="D261" i="3"/>
  <c r="M261" i="3" s="1"/>
  <c r="D265" i="3"/>
  <c r="M265" i="3" s="1"/>
  <c r="D272" i="3"/>
  <c r="M272" i="3" s="1"/>
  <c r="D276" i="3"/>
  <c r="M276" i="3" s="1"/>
  <c r="D280" i="3"/>
  <c r="M280" i="3" s="1"/>
  <c r="D287" i="3"/>
  <c r="M287" i="3" s="1"/>
  <c r="D291" i="3"/>
  <c r="M291" i="3" s="1"/>
  <c r="D350" i="3"/>
  <c r="M350" i="3" s="1"/>
  <c r="D312" i="3"/>
  <c r="M312" i="3" s="1"/>
  <c r="D316" i="3"/>
  <c r="M316" i="3" s="1"/>
  <c r="D332" i="3"/>
  <c r="M332" i="3" s="1"/>
  <c r="D284" i="3"/>
  <c r="M284" i="3" s="1"/>
  <c r="D299" i="3"/>
  <c r="M299" i="3" s="1"/>
  <c r="D346" i="3"/>
  <c r="M346" i="3" s="1"/>
  <c r="D251" i="3"/>
  <c r="M251" i="3" s="1"/>
  <c r="D262" i="3"/>
  <c r="M262" i="3" s="1"/>
  <c r="D268" i="3"/>
  <c r="M268" i="3" s="1"/>
  <c r="D273" i="3"/>
  <c r="M273" i="3" s="1"/>
  <c r="D295" i="3"/>
  <c r="M295" i="3" s="1"/>
  <c r="D310" i="3"/>
  <c r="M310" i="3" s="1"/>
  <c r="D335" i="3"/>
  <c r="M335" i="3" s="1"/>
  <c r="D307" i="3"/>
  <c r="M307" i="3" s="1"/>
  <c r="D243" i="3"/>
  <c r="M243" i="3" s="1"/>
  <c r="D336" i="3"/>
  <c r="M336" i="3" s="1"/>
  <c r="D354" i="3"/>
  <c r="M354" i="3" s="1"/>
  <c r="D250" i="3"/>
  <c r="M250" i="3" s="1"/>
  <c r="D294" i="3"/>
  <c r="M294" i="3" s="1"/>
  <c r="D337" i="3"/>
  <c r="M337" i="3" s="1"/>
  <c r="D321" i="3"/>
  <c r="M321" i="3" s="1"/>
  <c r="D302" i="3"/>
  <c r="M302" i="3" s="1"/>
  <c r="D277" i="3"/>
  <c r="M277" i="3" s="1"/>
  <c r="D320" i="3"/>
  <c r="M320" i="3" s="1"/>
  <c r="D342" i="3"/>
  <c r="M342" i="3" s="1"/>
  <c r="D351" i="3"/>
  <c r="M351" i="3" s="1"/>
  <c r="D355" i="3"/>
  <c r="M355" i="3" s="1"/>
  <c r="D317" i="3"/>
  <c r="M317" i="3" s="1"/>
  <c r="D328" i="3"/>
  <c r="M328" i="3" s="1"/>
  <c r="D285" i="3"/>
  <c r="M285" i="3" s="1"/>
  <c r="D319" i="3"/>
  <c r="M319" i="3" s="1"/>
  <c r="D270" i="3"/>
  <c r="M270" i="3" s="1"/>
  <c r="D315" i="3"/>
  <c r="M315" i="3" s="1"/>
  <c r="D288" i="3"/>
  <c r="M288" i="3" s="1"/>
  <c r="D347" i="3"/>
  <c r="M347" i="3" s="1"/>
  <c r="D362" i="3"/>
  <c r="M362" i="3" s="1"/>
  <c r="D313" i="3"/>
  <c r="M313" i="3" s="1"/>
  <c r="D334" i="3"/>
  <c r="M334" i="3" s="1"/>
  <c r="D247" i="3"/>
  <c r="M247" i="3" s="1"/>
  <c r="D269" i="3"/>
  <c r="M269" i="3" s="1"/>
  <c r="D281" i="3"/>
  <c r="M281" i="3" s="1"/>
  <c r="D296" i="3"/>
  <c r="M296" i="3" s="1"/>
  <c r="D306" i="3"/>
  <c r="M306" i="3" s="1"/>
  <c r="D344" i="3"/>
  <c r="M344" i="3" s="1"/>
  <c r="D331" i="3"/>
  <c r="M331" i="3" s="1"/>
  <c r="D283" i="3"/>
  <c r="M283" i="3" s="1"/>
  <c r="D340" i="3"/>
  <c r="M340" i="3" s="1"/>
  <c r="D343" i="3"/>
  <c r="M343" i="3" s="1"/>
  <c r="D352" i="3"/>
  <c r="M352" i="3" s="1"/>
  <c r="D253" i="3"/>
  <c r="M253" i="3" s="1"/>
  <c r="D258" i="3"/>
  <c r="M258" i="3" s="1"/>
  <c r="D292" i="3"/>
  <c r="M292" i="3" s="1"/>
  <c r="D348" i="3"/>
  <c r="M348" i="3" s="1"/>
  <c r="D324" i="3"/>
  <c r="M324" i="3" s="1"/>
  <c r="D254" i="3"/>
  <c r="M254" i="3" s="1"/>
  <c r="D266" i="3"/>
  <c r="M266" i="3" s="1"/>
  <c r="D298" i="3"/>
  <c r="M298" i="3" s="1"/>
  <c r="D359" i="3"/>
  <c r="M359" i="3" s="1"/>
  <c r="D303" i="3"/>
  <c r="M303" i="3" s="1"/>
  <c r="D39" i="3"/>
  <c r="M39" i="3" s="1"/>
  <c r="D43" i="3"/>
  <c r="M43" i="3" s="1"/>
  <c r="D47" i="3"/>
  <c r="M47" i="3" s="1"/>
  <c r="D51" i="3"/>
  <c r="M51" i="3" s="1"/>
  <c r="D55" i="3"/>
  <c r="M55" i="3" s="1"/>
  <c r="D59" i="3"/>
  <c r="M59" i="3" s="1"/>
  <c r="D66" i="3"/>
  <c r="M66" i="3" s="1"/>
  <c r="D70" i="3"/>
  <c r="M70" i="3" s="1"/>
  <c r="D74" i="3"/>
  <c r="M74" i="3" s="1"/>
  <c r="D93" i="3"/>
  <c r="M93" i="3" s="1"/>
  <c r="D104" i="3"/>
  <c r="M104" i="3" s="1"/>
  <c r="D108" i="3"/>
  <c r="M108" i="3" s="1"/>
  <c r="D112" i="3"/>
  <c r="M112" i="3" s="1"/>
  <c r="D116" i="3"/>
  <c r="M116" i="3" s="1"/>
  <c r="D120" i="3"/>
  <c r="M120" i="3" s="1"/>
  <c r="D124" i="3"/>
  <c r="M124" i="3" s="1"/>
  <c r="D128" i="3"/>
  <c r="M128" i="3" s="1"/>
  <c r="D132" i="3"/>
  <c r="M132" i="3" s="1"/>
  <c r="D136" i="3"/>
  <c r="M136" i="3" s="1"/>
  <c r="D140" i="3"/>
  <c r="M140" i="3" s="1"/>
  <c r="D144" i="3"/>
  <c r="M144" i="3" s="1"/>
  <c r="D148" i="3"/>
  <c r="M148" i="3" s="1"/>
  <c r="D166" i="3"/>
  <c r="M166" i="3" s="1"/>
  <c r="D170" i="3"/>
  <c r="M170" i="3" s="1"/>
  <c r="D174" i="3"/>
  <c r="M174" i="3" s="1"/>
  <c r="D181" i="3"/>
  <c r="M181" i="3" s="1"/>
  <c r="D185" i="3"/>
  <c r="M185" i="3" s="1"/>
  <c r="D189" i="3"/>
  <c r="M189" i="3" s="1"/>
  <c r="D193" i="3"/>
  <c r="M193" i="3" s="1"/>
  <c r="D211" i="3"/>
  <c r="M211" i="3" s="1"/>
  <c r="D215" i="3"/>
  <c r="M215" i="3" s="1"/>
  <c r="D219" i="3"/>
  <c r="M219" i="3" s="1"/>
  <c r="D234" i="3"/>
  <c r="M234" i="3" s="1"/>
  <c r="D238" i="3"/>
  <c r="M238" i="3" s="1"/>
  <c r="D242" i="3"/>
  <c r="M242" i="3" s="1"/>
  <c r="D8" i="3"/>
  <c r="M8" i="3" s="1"/>
  <c r="D12" i="3"/>
  <c r="M12" i="3" s="1"/>
  <c r="D19" i="3"/>
  <c r="M19" i="3" s="1"/>
  <c r="D23" i="3"/>
  <c r="M23" i="3" s="1"/>
  <c r="D30" i="3"/>
  <c r="M30" i="3" s="1"/>
  <c r="D99" i="3"/>
  <c r="M99" i="3" s="1"/>
  <c r="D153" i="3"/>
  <c r="M153" i="3" s="1"/>
  <c r="D199" i="3"/>
  <c r="M199" i="3" s="1"/>
  <c r="D89" i="3"/>
  <c r="M89" i="3" s="1"/>
  <c r="D158" i="3"/>
  <c r="M158" i="3" s="1"/>
  <c r="D196" i="3"/>
  <c r="M196" i="3" s="1"/>
  <c r="D33" i="3"/>
  <c r="M33" i="3" s="1"/>
  <c r="D63" i="3"/>
  <c r="M63" i="3" s="1"/>
  <c r="D78" i="3"/>
  <c r="M78" i="3" s="1"/>
  <c r="D82" i="3"/>
  <c r="M82" i="3" s="1"/>
  <c r="D86" i="3"/>
  <c r="M86" i="3" s="1"/>
  <c r="D90" i="3"/>
  <c r="M90" i="3" s="1"/>
  <c r="D97" i="3"/>
  <c r="M97" i="3" s="1"/>
  <c r="D101" i="3"/>
  <c r="M101" i="3" s="1"/>
  <c r="D155" i="3"/>
  <c r="M155" i="3" s="1"/>
  <c r="D159" i="3"/>
  <c r="M159" i="3" s="1"/>
  <c r="D197" i="3"/>
  <c r="M197" i="3" s="1"/>
  <c r="D201" i="3"/>
  <c r="M201" i="3" s="1"/>
  <c r="D223" i="3"/>
  <c r="M223" i="3" s="1"/>
  <c r="D227" i="3"/>
  <c r="M227" i="3" s="1"/>
  <c r="D231" i="3"/>
  <c r="M231" i="3" s="1"/>
  <c r="D16" i="3"/>
  <c r="M16" i="3" s="1"/>
  <c r="D27" i="3"/>
  <c r="M27" i="3" s="1"/>
  <c r="D34" i="3"/>
  <c r="M34" i="3" s="1"/>
  <c r="D3" i="3"/>
  <c r="D88" i="3"/>
  <c r="M88" i="3" s="1"/>
  <c r="D229" i="3"/>
  <c r="M229" i="3" s="1"/>
  <c r="D29" i="3"/>
  <c r="M29" i="3" s="1"/>
  <c r="D154" i="3"/>
  <c r="M154" i="3" s="1"/>
  <c r="D226" i="3"/>
  <c r="M226" i="3" s="1"/>
  <c r="D36" i="3"/>
  <c r="M36" i="3" s="1"/>
  <c r="D40" i="3"/>
  <c r="M40" i="3" s="1"/>
  <c r="D44" i="3"/>
  <c r="M44" i="3" s="1"/>
  <c r="D48" i="3"/>
  <c r="M48" i="3" s="1"/>
  <c r="D52" i="3"/>
  <c r="M52" i="3" s="1"/>
  <c r="D56" i="3"/>
  <c r="M56" i="3" s="1"/>
  <c r="D60" i="3"/>
  <c r="M60" i="3" s="1"/>
  <c r="D67" i="3"/>
  <c r="M67" i="3" s="1"/>
  <c r="D71" i="3"/>
  <c r="M71" i="3" s="1"/>
  <c r="D94" i="3"/>
  <c r="M94" i="3" s="1"/>
  <c r="D105" i="3"/>
  <c r="M105" i="3" s="1"/>
  <c r="D109" i="3"/>
  <c r="M109" i="3" s="1"/>
  <c r="D113" i="3"/>
  <c r="M113" i="3" s="1"/>
  <c r="D117" i="3"/>
  <c r="M117" i="3" s="1"/>
  <c r="D121" i="3"/>
  <c r="M121" i="3" s="1"/>
  <c r="D125" i="3"/>
  <c r="M125" i="3" s="1"/>
  <c r="D129" i="3"/>
  <c r="M129" i="3" s="1"/>
  <c r="D133" i="3"/>
  <c r="M133" i="3" s="1"/>
  <c r="D137" i="3"/>
  <c r="M137" i="3" s="1"/>
  <c r="D141" i="3"/>
  <c r="M141" i="3" s="1"/>
  <c r="D145" i="3"/>
  <c r="M145" i="3" s="1"/>
  <c r="D152" i="3"/>
  <c r="M152" i="3" s="1"/>
  <c r="D163" i="3"/>
  <c r="M163" i="3" s="1"/>
  <c r="D167" i="3"/>
  <c r="M167" i="3" s="1"/>
  <c r="D171" i="3"/>
  <c r="M171" i="3" s="1"/>
  <c r="D178" i="3"/>
  <c r="M178" i="3" s="1"/>
  <c r="D182" i="3"/>
  <c r="M182" i="3" s="1"/>
  <c r="D186" i="3"/>
  <c r="M186" i="3" s="1"/>
  <c r="D190" i="3"/>
  <c r="M190" i="3" s="1"/>
  <c r="D194" i="3"/>
  <c r="M194" i="3" s="1"/>
  <c r="D205" i="3"/>
  <c r="M205" i="3" s="1"/>
  <c r="D208" i="3"/>
  <c r="M208" i="3" s="1"/>
  <c r="D212" i="3"/>
  <c r="M212" i="3" s="1"/>
  <c r="D216" i="3"/>
  <c r="M216" i="3" s="1"/>
  <c r="D220" i="3"/>
  <c r="M220" i="3" s="1"/>
  <c r="D235" i="3"/>
  <c r="M235" i="3" s="1"/>
  <c r="D239" i="3"/>
  <c r="M239" i="3" s="1"/>
  <c r="D5" i="3"/>
  <c r="M5" i="3" s="1"/>
  <c r="D9" i="3"/>
  <c r="M9" i="3" s="1"/>
  <c r="D13" i="3"/>
  <c r="M13" i="3" s="1"/>
  <c r="D20" i="3"/>
  <c r="M20" i="3" s="1"/>
  <c r="D31" i="3"/>
  <c r="M31" i="3" s="1"/>
  <c r="D80" i="3"/>
  <c r="M80" i="3" s="1"/>
  <c r="D150" i="3"/>
  <c r="M150" i="3" s="1"/>
  <c r="D176" i="3"/>
  <c r="M176" i="3" s="1"/>
  <c r="D81" i="3"/>
  <c r="M81" i="3" s="1"/>
  <c r="D100" i="3"/>
  <c r="M100" i="3" s="1"/>
  <c r="D162" i="3"/>
  <c r="M162" i="3" s="1"/>
  <c r="D204" i="3"/>
  <c r="M204" i="3" s="1"/>
  <c r="D75" i="3"/>
  <c r="M75" i="3" s="1"/>
  <c r="D79" i="3"/>
  <c r="M79" i="3" s="1"/>
  <c r="D83" i="3"/>
  <c r="M83" i="3" s="1"/>
  <c r="D87" i="3"/>
  <c r="M87" i="3" s="1"/>
  <c r="D91" i="3"/>
  <c r="M91" i="3" s="1"/>
  <c r="D98" i="3"/>
  <c r="M98" i="3" s="1"/>
  <c r="D102" i="3"/>
  <c r="M102" i="3" s="1"/>
  <c r="D149" i="3"/>
  <c r="M149" i="3" s="1"/>
  <c r="D156" i="3"/>
  <c r="M156" i="3" s="1"/>
  <c r="D160" i="3"/>
  <c r="M160" i="3" s="1"/>
  <c r="D175" i="3"/>
  <c r="M175" i="3" s="1"/>
  <c r="D198" i="3"/>
  <c r="M198" i="3" s="1"/>
  <c r="D202" i="3"/>
  <c r="M202" i="3" s="1"/>
  <c r="D224" i="3"/>
  <c r="M224" i="3" s="1"/>
  <c r="D228" i="3"/>
  <c r="M228" i="3" s="1"/>
  <c r="D24" i="3"/>
  <c r="M24" i="3" s="1"/>
  <c r="D28" i="3"/>
  <c r="M28" i="3" s="1"/>
  <c r="D35" i="3"/>
  <c r="M35" i="3" s="1"/>
  <c r="D76" i="3"/>
  <c r="M76" i="3" s="1"/>
  <c r="D95" i="3"/>
  <c r="M95" i="3" s="1"/>
  <c r="D157" i="3"/>
  <c r="M157" i="3" s="1"/>
  <c r="D203" i="3"/>
  <c r="M203" i="3" s="1"/>
  <c r="D225" i="3"/>
  <c r="M225" i="3" s="1"/>
  <c r="D14" i="3"/>
  <c r="M14" i="3" s="1"/>
  <c r="D62" i="3"/>
  <c r="M62" i="3" s="1"/>
  <c r="D85" i="3"/>
  <c r="M85" i="3" s="1"/>
  <c r="D177" i="3"/>
  <c r="M177" i="3" s="1"/>
  <c r="D200" i="3"/>
  <c r="M200" i="3" s="1"/>
  <c r="D15" i="3"/>
  <c r="M15" i="3" s="1"/>
  <c r="D37" i="3"/>
  <c r="M37" i="3" s="1"/>
  <c r="D41" i="3"/>
  <c r="M41" i="3" s="1"/>
  <c r="D45" i="3"/>
  <c r="M45" i="3" s="1"/>
  <c r="D49" i="3"/>
  <c r="M49" i="3" s="1"/>
  <c r="D53" i="3"/>
  <c r="M53" i="3" s="1"/>
  <c r="D57" i="3"/>
  <c r="M57" i="3" s="1"/>
  <c r="D64" i="3"/>
  <c r="M64" i="3" s="1"/>
  <c r="D68" i="3"/>
  <c r="M68" i="3" s="1"/>
  <c r="D72" i="3"/>
  <c r="M72" i="3" s="1"/>
  <c r="D106" i="3"/>
  <c r="M106" i="3" s="1"/>
  <c r="D110" i="3"/>
  <c r="M110" i="3" s="1"/>
  <c r="D114" i="3"/>
  <c r="M114" i="3" s="1"/>
  <c r="D118" i="3"/>
  <c r="M118" i="3" s="1"/>
  <c r="D122" i="3"/>
  <c r="M122" i="3" s="1"/>
  <c r="D126" i="3"/>
  <c r="M126" i="3" s="1"/>
  <c r="D130" i="3"/>
  <c r="M130" i="3" s="1"/>
  <c r="D134" i="3"/>
  <c r="M134" i="3" s="1"/>
  <c r="D138" i="3"/>
  <c r="M138" i="3" s="1"/>
  <c r="D142" i="3"/>
  <c r="M142" i="3" s="1"/>
  <c r="D146" i="3"/>
  <c r="M146" i="3" s="1"/>
  <c r="D164" i="3"/>
  <c r="M164" i="3" s="1"/>
  <c r="D168" i="3"/>
  <c r="M168" i="3" s="1"/>
  <c r="D172" i="3"/>
  <c r="M172" i="3" s="1"/>
  <c r="D179" i="3"/>
  <c r="M179" i="3" s="1"/>
  <c r="D183" i="3"/>
  <c r="M183" i="3" s="1"/>
  <c r="D187" i="3"/>
  <c r="M187" i="3" s="1"/>
  <c r="D191" i="3"/>
  <c r="M191" i="3" s="1"/>
  <c r="D195" i="3"/>
  <c r="M195" i="3" s="1"/>
  <c r="D206" i="3"/>
  <c r="M206" i="3" s="1"/>
  <c r="D209" i="3"/>
  <c r="M209" i="3" s="1"/>
  <c r="D213" i="3"/>
  <c r="M213" i="3" s="1"/>
  <c r="D217" i="3"/>
  <c r="M217" i="3" s="1"/>
  <c r="D221" i="3"/>
  <c r="M221" i="3" s="1"/>
  <c r="D232" i="3"/>
  <c r="M232" i="3" s="1"/>
  <c r="D236" i="3"/>
  <c r="M236" i="3" s="1"/>
  <c r="D240" i="3"/>
  <c r="M240" i="3" s="1"/>
  <c r="D6" i="3"/>
  <c r="M6" i="3" s="1"/>
  <c r="D10" i="3"/>
  <c r="M10" i="3" s="1"/>
  <c r="D17" i="3"/>
  <c r="M17" i="3" s="1"/>
  <c r="D21" i="3"/>
  <c r="M21" i="3" s="1"/>
  <c r="D32" i="3"/>
  <c r="M32" i="3" s="1"/>
  <c r="D61" i="3"/>
  <c r="M61" i="3" s="1"/>
  <c r="D84" i="3"/>
  <c r="M84" i="3" s="1"/>
  <c r="D161" i="3"/>
  <c r="M161" i="3" s="1"/>
  <c r="D25" i="3"/>
  <c r="M25" i="3" s="1"/>
  <c r="D77" i="3"/>
  <c r="M77" i="3" s="1"/>
  <c r="D96" i="3"/>
  <c r="M96" i="3" s="1"/>
  <c r="D151" i="3"/>
  <c r="M151" i="3" s="1"/>
  <c r="D207" i="3"/>
  <c r="M207" i="3" s="1"/>
  <c r="D230" i="3"/>
  <c r="M230" i="3" s="1"/>
  <c r="D26" i="3"/>
  <c r="M26" i="3" s="1"/>
  <c r="D38" i="3"/>
  <c r="M38" i="3" s="1"/>
  <c r="D42" i="3"/>
  <c r="M42" i="3" s="1"/>
  <c r="D46" i="3"/>
  <c r="M46" i="3" s="1"/>
  <c r="D50" i="3"/>
  <c r="M50" i="3" s="1"/>
  <c r="D54" i="3"/>
  <c r="M54" i="3" s="1"/>
  <c r="D58" i="3"/>
  <c r="M58" i="3" s="1"/>
  <c r="D65" i="3"/>
  <c r="M65" i="3" s="1"/>
  <c r="D69" i="3"/>
  <c r="M69" i="3" s="1"/>
  <c r="D73" i="3"/>
  <c r="M73" i="3" s="1"/>
  <c r="D92" i="3"/>
  <c r="M92" i="3" s="1"/>
  <c r="D103" i="3"/>
  <c r="M103" i="3" s="1"/>
  <c r="D107" i="3"/>
  <c r="M107" i="3" s="1"/>
  <c r="D111" i="3"/>
  <c r="M111" i="3" s="1"/>
  <c r="D115" i="3"/>
  <c r="M115" i="3" s="1"/>
  <c r="D119" i="3"/>
  <c r="M119" i="3" s="1"/>
  <c r="D123" i="3"/>
  <c r="M123" i="3" s="1"/>
  <c r="D127" i="3"/>
  <c r="M127" i="3" s="1"/>
  <c r="D131" i="3"/>
  <c r="M131" i="3" s="1"/>
  <c r="D135" i="3"/>
  <c r="M135" i="3" s="1"/>
  <c r="D139" i="3"/>
  <c r="M139" i="3" s="1"/>
  <c r="D143" i="3"/>
  <c r="M143" i="3" s="1"/>
  <c r="D147" i="3"/>
  <c r="M147" i="3" s="1"/>
  <c r="D165" i="3"/>
  <c r="M165" i="3" s="1"/>
  <c r="D169" i="3"/>
  <c r="M169" i="3" s="1"/>
  <c r="D173" i="3"/>
  <c r="M173" i="3" s="1"/>
  <c r="D180" i="3"/>
  <c r="M180" i="3" s="1"/>
  <c r="D184" i="3"/>
  <c r="M184" i="3" s="1"/>
  <c r="D188" i="3"/>
  <c r="M188" i="3" s="1"/>
  <c r="D192" i="3"/>
  <c r="M192" i="3" s="1"/>
  <c r="D210" i="3"/>
  <c r="M210" i="3" s="1"/>
  <c r="D214" i="3"/>
  <c r="M214" i="3" s="1"/>
  <c r="D218" i="3"/>
  <c r="M218" i="3" s="1"/>
  <c r="D222" i="3"/>
  <c r="M222" i="3" s="1"/>
  <c r="D233" i="3"/>
  <c r="M233" i="3" s="1"/>
  <c r="D237" i="3"/>
  <c r="M237" i="3" s="1"/>
  <c r="D241" i="3"/>
  <c r="M241" i="3" s="1"/>
  <c r="D7" i="3"/>
  <c r="M7" i="3" s="1"/>
  <c r="D11" i="3"/>
  <c r="M11" i="3" s="1"/>
  <c r="D18" i="3"/>
  <c r="M18" i="3" s="1"/>
  <c r="D22" i="3"/>
  <c r="M22" i="3" s="1"/>
  <c r="D4" i="3"/>
  <c r="M4" i="3" s="1"/>
  <c r="L20" i="1"/>
  <c r="R15" i="1" l="1"/>
  <c r="L21" i="1"/>
  <c r="P7" i="1"/>
  <c r="M3" i="3"/>
  <c r="A245" i="3"/>
  <c r="B246" i="3"/>
  <c r="C3" i="3"/>
  <c r="L3" i="3" s="1"/>
  <c r="P6" i="1"/>
  <c r="H92" i="1" l="1"/>
  <c r="H93" i="1"/>
  <c r="A246" i="3"/>
  <c r="B247" i="3"/>
  <c r="R14" i="1"/>
  <c r="A247" i="3" l="1"/>
  <c r="B248" i="3"/>
  <c r="A248" i="3" l="1"/>
  <c r="B249" i="3"/>
  <c r="A249" i="3" l="1"/>
  <c r="B250" i="3"/>
  <c r="A250" i="3" l="1"/>
  <c r="B251" i="3"/>
  <c r="A251" i="3" l="1"/>
  <c r="B252" i="3"/>
  <c r="B253" i="3" l="1"/>
  <c r="A252" i="3"/>
  <c r="A253" i="3" l="1"/>
  <c r="B254" i="3"/>
  <c r="A254" i="3" l="1"/>
  <c r="B255" i="3"/>
  <c r="A255" i="3" l="1"/>
  <c r="B256" i="3"/>
  <c r="A256" i="3" l="1"/>
  <c r="B257" i="3"/>
  <c r="A257" i="3" l="1"/>
  <c r="B258" i="3"/>
  <c r="A258" i="3" l="1"/>
  <c r="B259" i="3"/>
  <c r="A259" i="3" l="1"/>
  <c r="B260" i="3"/>
  <c r="A260" i="3" l="1"/>
  <c r="B261" i="3"/>
  <c r="B262" i="3" l="1"/>
  <c r="A261" i="3"/>
  <c r="B263" i="3" l="1"/>
  <c r="A262" i="3"/>
  <c r="B264" i="3" l="1"/>
  <c r="A263" i="3"/>
  <c r="A264" i="3" l="1"/>
  <c r="B265" i="3"/>
  <c r="A265" i="3" l="1"/>
  <c r="B266" i="3"/>
  <c r="A266" i="3" l="1"/>
  <c r="B267" i="3"/>
  <c r="A267" i="3" l="1"/>
  <c r="B268" i="3"/>
  <c r="B269" i="3" l="1"/>
  <c r="A268" i="3"/>
  <c r="A269" i="3" l="1"/>
  <c r="B270" i="3"/>
  <c r="A270" i="3" l="1"/>
  <c r="B271" i="3"/>
  <c r="A271" i="3" l="1"/>
  <c r="B272" i="3"/>
  <c r="B273" i="3" l="1"/>
  <c r="A272" i="3"/>
  <c r="A273" i="3" l="1"/>
  <c r="B274" i="3"/>
  <c r="A274" i="3" l="1"/>
  <c r="B275" i="3"/>
  <c r="B276" i="3" l="1"/>
  <c r="A275" i="3"/>
  <c r="B277" i="3" l="1"/>
  <c r="A276" i="3"/>
  <c r="A277" i="3" l="1"/>
  <c r="B278" i="3"/>
  <c r="B279" i="3" l="1"/>
  <c r="A278" i="3"/>
  <c r="B280" i="3" l="1"/>
  <c r="A279" i="3"/>
  <c r="B281" i="3" l="1"/>
  <c r="A280" i="3"/>
  <c r="A281" i="3" l="1"/>
  <c r="B282" i="3"/>
  <c r="B283" i="3" l="1"/>
  <c r="A282" i="3"/>
  <c r="B284" i="3" l="1"/>
  <c r="A283" i="3"/>
  <c r="B285" i="3" l="1"/>
  <c r="A284" i="3"/>
  <c r="A285" i="3" l="1"/>
  <c r="B286" i="3"/>
  <c r="B287" i="3" l="1"/>
  <c r="A286" i="3"/>
  <c r="B288" i="3" l="1"/>
  <c r="A287" i="3"/>
  <c r="A288" i="3" l="1"/>
  <c r="B289" i="3"/>
  <c r="A289" i="3" l="1"/>
  <c r="B290" i="3"/>
  <c r="A290" i="3" l="1"/>
  <c r="B291" i="3"/>
  <c r="A291" i="3" l="1"/>
  <c r="B292" i="3"/>
  <c r="A292" i="3" l="1"/>
  <c r="B293" i="3"/>
  <c r="A293" i="3" l="1"/>
  <c r="B294" i="3"/>
  <c r="B295" i="3" l="1"/>
  <c r="A294" i="3"/>
  <c r="B296" i="3" l="1"/>
  <c r="A295" i="3"/>
  <c r="B297" i="3" l="1"/>
  <c r="A296" i="3"/>
  <c r="A297" i="3" l="1"/>
  <c r="B298" i="3"/>
  <c r="B299" i="3" l="1"/>
  <c r="A298" i="3"/>
  <c r="B300" i="3" l="1"/>
  <c r="A299" i="3"/>
  <c r="B301" i="3" l="1"/>
  <c r="A300" i="3"/>
  <c r="B302" i="3" l="1"/>
  <c r="A301" i="3"/>
  <c r="A302" i="3" l="1"/>
  <c r="B303" i="3"/>
  <c r="A303" i="3" l="1"/>
  <c r="B304" i="3"/>
  <c r="B305" i="3" l="1"/>
  <c r="A304" i="3"/>
  <c r="A305" i="3" l="1"/>
  <c r="B306" i="3"/>
  <c r="A306" i="3" l="1"/>
  <c r="B307" i="3"/>
  <c r="B308" i="3" l="1"/>
  <c r="A307" i="3"/>
  <c r="B309" i="3" l="1"/>
  <c r="A308" i="3"/>
  <c r="A309" i="3" l="1"/>
  <c r="B310" i="3"/>
  <c r="A310" i="3" l="1"/>
  <c r="B311" i="3"/>
  <c r="A311" i="3" l="1"/>
  <c r="B312" i="3"/>
  <c r="B313" i="3" s="1"/>
  <c r="B314" i="3" l="1"/>
  <c r="A312" i="3"/>
  <c r="A313" i="3" s="1"/>
  <c r="A314" i="3" l="1"/>
  <c r="B315" i="3"/>
  <c r="A315" i="3" l="1"/>
  <c r="B316" i="3"/>
  <c r="B317" i="3" l="1"/>
  <c r="A316" i="3"/>
  <c r="B318" i="3" l="1"/>
  <c r="A317" i="3"/>
  <c r="A318" i="3" l="1"/>
  <c r="B319" i="3"/>
  <c r="A319" i="3" l="1"/>
  <c r="B320" i="3"/>
  <c r="B321" i="3" l="1"/>
  <c r="A320" i="3"/>
  <c r="A321" i="3" l="1"/>
  <c r="B322" i="3"/>
  <c r="A322" i="3" l="1"/>
  <c r="B323" i="3"/>
  <c r="A323" i="3" l="1"/>
  <c r="B324" i="3"/>
  <c r="B325" i="3" l="1"/>
  <c r="A324" i="3"/>
  <c r="A325" i="3" l="1"/>
  <c r="B326" i="3"/>
  <c r="B327" i="3" l="1"/>
  <c r="A326" i="3"/>
  <c r="A327" i="3" l="1"/>
  <c r="B328" i="3"/>
  <c r="A328" i="3" l="1"/>
  <c r="B329" i="3"/>
  <c r="B330" i="3" l="1"/>
  <c r="A329" i="3"/>
  <c r="A330" i="3" l="1"/>
  <c r="B331" i="3"/>
  <c r="A331" i="3" l="1"/>
  <c r="B332" i="3"/>
  <c r="A332" i="3" l="1"/>
  <c r="B333" i="3"/>
  <c r="A333" i="3" l="1"/>
  <c r="B334" i="3"/>
  <c r="B335" i="3" l="1"/>
  <c r="A334" i="3"/>
  <c r="A335" i="3" l="1"/>
  <c r="B336" i="3"/>
  <c r="A336" i="3" l="1"/>
  <c r="B337" i="3"/>
  <c r="A337" i="3" l="1"/>
  <c r="B338" i="3"/>
  <c r="B339" i="3" l="1"/>
  <c r="A338" i="3"/>
  <c r="B340" i="3" l="1"/>
  <c r="A339" i="3"/>
  <c r="A340" i="3" l="1"/>
  <c r="B341" i="3"/>
  <c r="A341" i="3" l="1"/>
  <c r="B342" i="3"/>
  <c r="B343" i="3" l="1"/>
  <c r="A342" i="3"/>
  <c r="A343" i="3" l="1"/>
  <c r="B344" i="3"/>
  <c r="A344" i="3" l="1"/>
  <c r="B345" i="3"/>
  <c r="A345" i="3" l="1"/>
  <c r="B346" i="3"/>
  <c r="B347" i="3" l="1"/>
  <c r="A346" i="3"/>
  <c r="A347" i="3" l="1"/>
  <c r="B348" i="3"/>
  <c r="A348" i="3" l="1"/>
  <c r="B349" i="3"/>
  <c r="B350" i="3" l="1"/>
  <c r="A349" i="3"/>
  <c r="B351" i="3" l="1"/>
  <c r="A350" i="3"/>
  <c r="B352" i="3" l="1"/>
  <c r="A351" i="3"/>
  <c r="A352" i="3" l="1"/>
  <c r="B353" i="3"/>
  <c r="B354" i="3" l="1"/>
  <c r="A353" i="3"/>
  <c r="A354" i="3" l="1"/>
  <c r="B355" i="3"/>
  <c r="B356" i="3" l="1"/>
  <c r="A355" i="3"/>
  <c r="B357" i="3" l="1"/>
  <c r="A356" i="3"/>
  <c r="A357" i="3" l="1"/>
  <c r="B358" i="3"/>
  <c r="B359" i="3" l="1"/>
  <c r="A358" i="3"/>
  <c r="A359" i="3" l="1"/>
  <c r="B360" i="3"/>
  <c r="A360" i="3" l="1"/>
  <c r="B361" i="3"/>
  <c r="A361" i="3" l="1"/>
  <c r="B362" i="3"/>
  <c r="A362" i="3" l="1"/>
  <c r="B363" i="3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B406" i="3" s="1"/>
  <c r="B407" i="3" s="1"/>
  <c r="B408" i="3" s="1"/>
  <c r="B409" i="3" s="1"/>
  <c r="B410" i="3" s="1"/>
  <c r="B411" i="3" s="1"/>
  <c r="B412" i="3" s="1"/>
  <c r="B413" i="3" s="1"/>
  <c r="B414" i="3" s="1"/>
  <c r="B415" i="3" s="1"/>
  <c r="B416" i="3" s="1"/>
  <c r="B417" i="3" s="1"/>
  <c r="B418" i="3" s="1"/>
  <c r="B419" i="3" s="1"/>
  <c r="B420" i="3" s="1"/>
  <c r="B421" i="3" s="1"/>
  <c r="B422" i="3" s="1"/>
  <c r="B423" i="3" s="1"/>
  <c r="B424" i="3" s="1"/>
  <c r="B425" i="3" s="1"/>
  <c r="B426" i="3" s="1"/>
  <c r="B427" i="3" s="1"/>
  <c r="B428" i="3" s="1"/>
  <c r="B429" i="3" s="1"/>
  <c r="B430" i="3" s="1"/>
  <c r="B431" i="3" s="1"/>
  <c r="B432" i="3" s="1"/>
  <c r="B433" i="3" s="1"/>
  <c r="B434" i="3" s="1"/>
  <c r="B435" i="3" s="1"/>
  <c r="B436" i="3" s="1"/>
  <c r="B437" i="3" s="1"/>
  <c r="B438" i="3" s="1"/>
  <c r="B439" i="3" s="1"/>
  <c r="B440" i="3" s="1"/>
  <c r="B441" i="3" s="1"/>
  <c r="B442" i="3" s="1"/>
  <c r="B443" i="3" s="1"/>
  <c r="B444" i="3" s="1"/>
  <c r="B445" i="3" s="1"/>
  <c r="B446" i="3" s="1"/>
  <c r="B447" i="3" s="1"/>
  <c r="B448" i="3" s="1"/>
  <c r="B449" i="3" s="1"/>
  <c r="B450" i="3" s="1"/>
  <c r="B451" i="3" s="1"/>
  <c r="B452" i="3" s="1"/>
  <c r="B453" i="3" s="1"/>
  <c r="B454" i="3" s="1"/>
  <c r="B455" i="3" s="1"/>
  <c r="B456" i="3" s="1"/>
  <c r="B457" i="3" s="1"/>
  <c r="B458" i="3" s="1"/>
  <c r="B459" i="3" s="1"/>
  <c r="B460" i="3" s="1"/>
  <c r="B461" i="3" s="1"/>
  <c r="B462" i="3" s="1"/>
  <c r="B463" i="3" s="1"/>
  <c r="B464" i="3" s="1"/>
  <c r="B465" i="3" s="1"/>
  <c r="B466" i="3" s="1"/>
  <c r="B467" i="3" s="1"/>
  <c r="B468" i="3" s="1"/>
  <c r="B469" i="3" s="1"/>
  <c r="B470" i="3" s="1"/>
  <c r="B471" i="3" s="1"/>
  <c r="B472" i="3" s="1"/>
  <c r="B473" i="3" s="1"/>
  <c r="B474" i="3" s="1"/>
  <c r="B475" i="3" s="1"/>
  <c r="B476" i="3" s="1"/>
  <c r="B477" i="3" s="1"/>
  <c r="B478" i="3" s="1"/>
  <c r="B479" i="3" s="1"/>
  <c r="B480" i="3" s="1"/>
  <c r="B481" i="3" s="1"/>
  <c r="B482" i="3" s="1"/>
  <c r="B483" i="3" s="1"/>
  <c r="B484" i="3" s="1"/>
  <c r="B485" i="3" s="1"/>
  <c r="B486" i="3" s="1"/>
  <c r="B487" i="3" s="1"/>
  <c r="B488" i="3" s="1"/>
  <c r="B489" i="3" s="1"/>
  <c r="B490" i="3" s="1"/>
  <c r="B491" i="3" s="1"/>
  <c r="B492" i="3" s="1"/>
  <c r="B493" i="3" s="1"/>
  <c r="B494" i="3" s="1"/>
  <c r="B495" i="3" s="1"/>
  <c r="B496" i="3" s="1"/>
  <c r="B497" i="3" s="1"/>
  <c r="B498" i="3" s="1"/>
  <c r="B499" i="3" s="1"/>
  <c r="B500" i="3" s="1"/>
  <c r="B501" i="3" s="1"/>
  <c r="B502" i="3" s="1"/>
  <c r="B503" i="3" s="1"/>
  <c r="B504" i="3" s="1"/>
  <c r="B505" i="3" s="1"/>
  <c r="B506" i="3" s="1"/>
  <c r="B507" i="3" s="1"/>
  <c r="B508" i="3" s="1"/>
  <c r="B509" i="3" s="1"/>
  <c r="B510" i="3" s="1"/>
  <c r="B511" i="3" s="1"/>
  <c r="B512" i="3" s="1"/>
  <c r="B513" i="3" s="1"/>
  <c r="B514" i="3" s="1"/>
  <c r="B515" i="3" s="1"/>
  <c r="B516" i="3" s="1"/>
  <c r="B517" i="3" s="1"/>
  <c r="B518" i="3" s="1"/>
  <c r="B519" i="3" s="1"/>
  <c r="B520" i="3" s="1"/>
  <c r="B521" i="3" s="1"/>
  <c r="B522" i="3" s="1"/>
  <c r="B523" i="3" s="1"/>
  <c r="B524" i="3" s="1"/>
  <c r="B525" i="3" s="1"/>
  <c r="B526" i="3" s="1"/>
  <c r="B527" i="3" s="1"/>
  <c r="B528" i="3" s="1"/>
  <c r="B529" i="3" s="1"/>
  <c r="B530" i="3" s="1"/>
  <c r="B531" i="3" s="1"/>
  <c r="B532" i="3" s="1"/>
  <c r="B533" i="3" s="1"/>
  <c r="B534" i="3" s="1"/>
  <c r="B535" i="3" s="1"/>
  <c r="B536" i="3" s="1"/>
  <c r="B537" i="3" s="1"/>
  <c r="B538" i="3" s="1"/>
  <c r="B539" i="3" s="1"/>
  <c r="B540" i="3" s="1"/>
  <c r="B541" i="3" s="1"/>
  <c r="B542" i="3" s="1"/>
  <c r="B543" i="3" s="1"/>
  <c r="B544" i="3" s="1"/>
  <c r="B545" i="3" s="1"/>
  <c r="B546" i="3" s="1"/>
  <c r="B547" i="3" s="1"/>
  <c r="B548" i="3" s="1"/>
  <c r="B549" i="3" s="1"/>
  <c r="B550" i="3" s="1"/>
  <c r="B551" i="3" s="1"/>
  <c r="B552" i="3" s="1"/>
  <c r="B553" i="3" s="1"/>
  <c r="B554" i="3" s="1"/>
  <c r="B555" i="3" s="1"/>
  <c r="B556" i="3" s="1"/>
  <c r="B557" i="3" s="1"/>
  <c r="B558" i="3" s="1"/>
  <c r="B559" i="3" s="1"/>
  <c r="B560" i="3" s="1"/>
  <c r="B561" i="3" s="1"/>
  <c r="B562" i="3" s="1"/>
  <c r="B563" i="3" s="1"/>
  <c r="B564" i="3" s="1"/>
  <c r="B565" i="3" s="1"/>
  <c r="B566" i="3" s="1"/>
  <c r="B567" i="3" s="1"/>
  <c r="B568" i="3" s="1"/>
  <c r="B569" i="3" s="1"/>
  <c r="B570" i="3" s="1"/>
  <c r="B571" i="3" s="1"/>
  <c r="B572" i="3" s="1"/>
  <c r="B573" i="3" s="1"/>
  <c r="B574" i="3" s="1"/>
  <c r="B575" i="3" s="1"/>
  <c r="B576" i="3" s="1"/>
  <c r="B577" i="3" s="1"/>
  <c r="B578" i="3" s="1"/>
  <c r="B579" i="3" s="1"/>
  <c r="B580" i="3" s="1"/>
  <c r="B581" i="3" s="1"/>
  <c r="B582" i="3" s="1"/>
  <c r="B583" i="3" s="1"/>
  <c r="B584" i="3" s="1"/>
  <c r="B585" i="3" s="1"/>
  <c r="B586" i="3" s="1"/>
  <c r="B587" i="3" s="1"/>
  <c r="B588" i="3" s="1"/>
  <c r="B589" i="3" s="1"/>
  <c r="B590" i="3" s="1"/>
  <c r="B591" i="3" s="1"/>
  <c r="B592" i="3" s="1"/>
  <c r="B593" i="3" s="1"/>
  <c r="B594" i="3" s="1"/>
  <c r="B595" i="3" s="1"/>
  <c r="B596" i="3" s="1"/>
  <c r="B597" i="3" s="1"/>
  <c r="B598" i="3" s="1"/>
  <c r="B599" i="3" s="1"/>
  <c r="B600" i="3" s="1"/>
  <c r="B601" i="3" s="1"/>
  <c r="B602" i="3" s="1"/>
  <c r="B603" i="3" s="1"/>
  <c r="B604" i="3" s="1"/>
  <c r="B605" i="3" s="1"/>
  <c r="B606" i="3" s="1"/>
  <c r="B607" i="3" s="1"/>
  <c r="B608" i="3" s="1"/>
  <c r="B609" i="3" s="1"/>
  <c r="B610" i="3" s="1"/>
  <c r="B611" i="3" s="1"/>
  <c r="B612" i="3" s="1"/>
  <c r="B613" i="3" s="1"/>
  <c r="B614" i="3" s="1"/>
  <c r="B615" i="3" s="1"/>
  <c r="B616" i="3" s="1"/>
  <c r="B617" i="3" s="1"/>
  <c r="B618" i="3" s="1"/>
  <c r="B619" i="3" s="1"/>
  <c r="B620" i="3" s="1"/>
  <c r="B621" i="3" s="1"/>
  <c r="B622" i="3" s="1"/>
  <c r="B623" i="3" s="1"/>
  <c r="B624" i="3" s="1"/>
  <c r="B625" i="3" s="1"/>
  <c r="B626" i="3" s="1"/>
  <c r="B627" i="3" s="1"/>
  <c r="B628" i="3" s="1"/>
  <c r="B629" i="3" s="1"/>
  <c r="B630" i="3" s="1"/>
  <c r="B631" i="3" s="1"/>
  <c r="B632" i="3" s="1"/>
  <c r="B633" i="3" s="1"/>
  <c r="B634" i="3" s="1"/>
  <c r="B635" i="3" s="1"/>
  <c r="B636" i="3" s="1"/>
  <c r="B637" i="3" s="1"/>
  <c r="B638" i="3" s="1"/>
  <c r="B639" i="3" s="1"/>
  <c r="B640" i="3" s="1"/>
  <c r="B641" i="3" s="1"/>
  <c r="B642" i="3" s="1"/>
  <c r="B643" i="3" s="1"/>
  <c r="B644" i="3" s="1"/>
  <c r="B645" i="3" s="1"/>
  <c r="B646" i="3" s="1"/>
  <c r="B647" i="3" s="1"/>
  <c r="B648" i="3" s="1"/>
  <c r="B649" i="3" s="1"/>
  <c r="B650" i="3" s="1"/>
  <c r="B651" i="3" s="1"/>
  <c r="B652" i="3" s="1"/>
  <c r="B653" i="3" s="1"/>
  <c r="B654" i="3" s="1"/>
  <c r="B655" i="3" s="1"/>
  <c r="B656" i="3" s="1"/>
  <c r="B657" i="3" s="1"/>
  <c r="B658" i="3" s="1"/>
  <c r="B659" i="3" s="1"/>
  <c r="B660" i="3" s="1"/>
  <c r="B661" i="3" s="1"/>
  <c r="B662" i="3" s="1"/>
  <c r="B663" i="3" s="1"/>
  <c r="J33" i="1"/>
  <c r="E88" i="1"/>
  <c r="E89" i="1" s="1"/>
  <c r="E97" i="1"/>
  <c r="H34" i="1"/>
  <c r="G34" i="1" s="1"/>
  <c r="E34" i="1" s="1"/>
  <c r="L30" i="1" s="1"/>
  <c r="H33" i="1"/>
  <c r="A363" i="3" l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H35" i="1"/>
  <c r="F96" i="1"/>
  <c r="E98" i="1"/>
  <c r="F97" i="1" s="1"/>
  <c r="G3" i="3"/>
  <c r="G33" i="1"/>
  <c r="H99" i="1"/>
  <c r="J34" i="1"/>
  <c r="J35" i="1" s="1"/>
  <c r="E92" i="1"/>
  <c r="E93" i="1" s="1"/>
  <c r="H94" i="1"/>
  <c r="H88" i="1"/>
  <c r="H89" i="1" s="1"/>
  <c r="G35" i="1" l="1"/>
  <c r="E33" i="1"/>
  <c r="E39" i="1" s="1"/>
  <c r="I59" i="1" s="1"/>
  <c r="I60" i="1" s="1"/>
  <c r="I61" i="1" s="1"/>
  <c r="I62" i="1" s="1"/>
  <c r="I65" i="1" s="1"/>
  <c r="P3" i="3"/>
  <c r="E62" i="1"/>
  <c r="H95" i="1"/>
  <c r="L26" i="1" l="1"/>
  <c r="L10" i="1"/>
  <c r="F3" i="3"/>
  <c r="L4" i="1"/>
  <c r="E35" i="1"/>
  <c r="H98" i="1"/>
  <c r="O3" i="3" l="1"/>
  <c r="Q3" i="3" s="1"/>
  <c r="L4" i="3" s="1"/>
  <c r="H3" i="3"/>
  <c r="E53" i="1" l="1"/>
  <c r="E65" i="1" s="1"/>
  <c r="E68" i="1" s="1"/>
  <c r="C4" i="3"/>
  <c r="I3" i="3"/>
  <c r="F4" i="3" s="1"/>
  <c r="R3" i="3"/>
  <c r="K4" i="3" s="1"/>
  <c r="G4" i="3" l="1"/>
  <c r="P4" i="3" s="1"/>
  <c r="J3" i="3"/>
  <c r="H4" i="3" l="1"/>
  <c r="O4" i="3"/>
  <c r="Q4" i="3" s="1"/>
  <c r="L5" i="3" s="1"/>
  <c r="R4" i="3" l="1"/>
  <c r="K5" i="3" s="1"/>
  <c r="C5" i="3"/>
  <c r="I4" i="3"/>
  <c r="F5" i="3" s="1"/>
  <c r="G5" i="3" l="1"/>
  <c r="P5" i="3" s="1"/>
  <c r="J4" i="3"/>
  <c r="H5" i="3" l="1"/>
  <c r="O5" i="3"/>
  <c r="Q5" i="3" s="1"/>
  <c r="L6" i="3" s="1"/>
  <c r="R5" i="3" l="1"/>
  <c r="K6" i="3" s="1"/>
  <c r="I5" i="3"/>
  <c r="F6" i="3" s="1"/>
  <c r="C6" i="3"/>
  <c r="G6" i="3" l="1"/>
  <c r="P6" i="3" s="1"/>
  <c r="O6" i="3"/>
  <c r="J5" i="3"/>
  <c r="H6" i="3" l="1"/>
  <c r="Q6" i="3"/>
  <c r="I6" i="3" l="1"/>
  <c r="F7" i="3" s="1"/>
  <c r="C7" i="3"/>
  <c r="L7" i="3"/>
  <c r="R6" i="3"/>
  <c r="K7" i="3" s="1"/>
  <c r="G7" i="3" l="1"/>
  <c r="P7" i="3" s="1"/>
  <c r="O7" i="3"/>
  <c r="J6" i="3"/>
  <c r="H7" i="3" l="1"/>
  <c r="Q7" i="3"/>
  <c r="I7" i="3" l="1"/>
  <c r="F8" i="3" s="1"/>
  <c r="C8" i="3"/>
  <c r="L8" i="3"/>
  <c r="R7" i="3"/>
  <c r="K8" i="3" s="1"/>
  <c r="G8" i="3" l="1"/>
  <c r="P8" i="3" s="1"/>
  <c r="O8" i="3"/>
  <c r="J7" i="3"/>
  <c r="H8" i="3" l="1"/>
  <c r="Q8" i="3"/>
  <c r="L9" i="3" s="1"/>
  <c r="C9" i="3" l="1"/>
  <c r="I8" i="3"/>
  <c r="F9" i="3" s="1"/>
  <c r="R8" i="3"/>
  <c r="K9" i="3" s="1"/>
  <c r="G9" i="3" l="1"/>
  <c r="P9" i="3" s="1"/>
  <c r="O9" i="3"/>
  <c r="J8" i="3"/>
  <c r="H9" i="3" l="1"/>
  <c r="Q9" i="3"/>
  <c r="C10" i="3" l="1"/>
  <c r="I9" i="3"/>
  <c r="F10" i="3" s="1"/>
  <c r="L10" i="3"/>
  <c r="R9" i="3"/>
  <c r="K10" i="3" s="1"/>
  <c r="G10" i="3" l="1"/>
  <c r="P10" i="3" s="1"/>
  <c r="O10" i="3"/>
  <c r="J9" i="3"/>
  <c r="H10" i="3" l="1"/>
  <c r="C11" i="3" s="1"/>
  <c r="Q10" i="3"/>
  <c r="L11" i="3" s="1"/>
  <c r="R10" i="3" l="1"/>
  <c r="K11" i="3" s="1"/>
  <c r="I10" i="3"/>
  <c r="F11" i="3" s="1"/>
  <c r="G11" i="3" l="1"/>
  <c r="O11" i="3"/>
  <c r="J10" i="3"/>
  <c r="P11" i="3" l="1"/>
  <c r="Q11" i="3" s="1"/>
  <c r="H11" i="3"/>
  <c r="I11" i="3" s="1"/>
  <c r="F12" i="3" s="1"/>
  <c r="G12" i="3" l="1"/>
  <c r="O12" i="3"/>
  <c r="R11" i="3"/>
  <c r="K12" i="3" s="1"/>
  <c r="L12" i="3"/>
  <c r="C12" i="3"/>
  <c r="J11" i="3"/>
  <c r="H12" i="3" l="1"/>
  <c r="P12" i="3"/>
  <c r="Q12" i="3" s="1"/>
  <c r="L13" i="3" s="1"/>
  <c r="C13" i="3" l="1"/>
  <c r="I12" i="3"/>
  <c r="F13" i="3" s="1"/>
  <c r="R12" i="3"/>
  <c r="K13" i="3" s="1"/>
  <c r="G13" i="3" l="1"/>
  <c r="H13" i="3" s="1"/>
  <c r="J12" i="3"/>
  <c r="P13" i="3" l="1"/>
  <c r="O13" i="3"/>
  <c r="Q13" i="3" l="1"/>
  <c r="L14" i="3" s="1"/>
  <c r="C14" i="3"/>
  <c r="I13" i="3"/>
  <c r="F14" i="3" s="1"/>
  <c r="G14" i="3" l="1"/>
  <c r="H14" i="3" s="1"/>
  <c r="R13" i="3"/>
  <c r="K14" i="3" s="1"/>
  <c r="J13" i="3"/>
  <c r="P14" i="3" l="1"/>
  <c r="O14" i="3"/>
  <c r="I14" i="3" l="1"/>
  <c r="F15" i="3" s="1"/>
  <c r="C15" i="3"/>
  <c r="Q14" i="3"/>
  <c r="G15" i="3" l="1"/>
  <c r="H15" i="3" s="1"/>
  <c r="L15" i="3"/>
  <c r="R14" i="3"/>
  <c r="K15" i="3" s="1"/>
  <c r="J14" i="3"/>
  <c r="P15" i="3" l="1"/>
  <c r="O15" i="3"/>
  <c r="Q15" i="3" l="1"/>
  <c r="L16" i="3" s="1"/>
  <c r="I15" i="3"/>
  <c r="F16" i="3" s="1"/>
  <c r="C16" i="3"/>
  <c r="G16" i="3" l="1"/>
  <c r="H16" i="3" s="1"/>
  <c r="R15" i="3"/>
  <c r="K16" i="3" s="1"/>
  <c r="J15" i="3"/>
  <c r="O16" i="3" l="1"/>
  <c r="P16" i="3"/>
  <c r="Q16" i="3" l="1"/>
  <c r="L17" i="3" s="1"/>
  <c r="C17" i="3"/>
  <c r="I16" i="3"/>
  <c r="F17" i="3" s="1"/>
  <c r="R16" i="3" l="1"/>
  <c r="K17" i="3" s="1"/>
  <c r="G17" i="3"/>
  <c r="J16" i="3"/>
  <c r="P17" i="3" l="1"/>
  <c r="H17" i="3"/>
  <c r="O17" i="3"/>
  <c r="Q17" i="3" l="1"/>
  <c r="L18" i="3" s="1"/>
  <c r="I17" i="3"/>
  <c r="F18" i="3" s="1"/>
  <c r="C18" i="3"/>
  <c r="R17" i="3" l="1"/>
  <c r="K18" i="3" s="1"/>
  <c r="G18" i="3"/>
  <c r="J17" i="3"/>
  <c r="P18" i="3" l="1"/>
  <c r="H18" i="3"/>
  <c r="I18" i="3" s="1"/>
  <c r="F19" i="3" s="1"/>
  <c r="O18" i="3"/>
  <c r="Q18" i="3" l="1"/>
  <c r="L19" i="3" s="1"/>
  <c r="G19" i="3"/>
  <c r="C19" i="3"/>
  <c r="J18" i="3"/>
  <c r="R18" i="3" l="1"/>
  <c r="K19" i="3" s="1"/>
  <c r="P19" i="3" s="1"/>
  <c r="H19" i="3"/>
  <c r="O19" i="3"/>
  <c r="Q19" i="3" l="1"/>
  <c r="L20" i="3" s="1"/>
  <c r="C20" i="3"/>
  <c r="I19" i="3"/>
  <c r="F20" i="3" s="1"/>
  <c r="G20" i="3" l="1"/>
  <c r="H20" i="3" s="1"/>
  <c r="R19" i="3"/>
  <c r="K20" i="3" s="1"/>
  <c r="J19" i="3"/>
  <c r="C21" i="3" l="1"/>
  <c r="P20" i="3"/>
  <c r="O20" i="3"/>
  <c r="Q20" i="3" l="1"/>
  <c r="R20" i="3" s="1"/>
  <c r="K21" i="3" s="1"/>
  <c r="I20" i="3"/>
  <c r="F21" i="3" s="1"/>
  <c r="G21" i="3" l="1"/>
  <c r="O21" i="3"/>
  <c r="L21" i="3"/>
  <c r="J20" i="3"/>
  <c r="P21" i="3" l="1"/>
  <c r="Q21" i="3" s="1"/>
  <c r="L22" i="3" s="1"/>
  <c r="H21" i="3"/>
  <c r="I21" i="3" s="1"/>
  <c r="F22" i="3" s="1"/>
  <c r="G22" i="3" l="1"/>
  <c r="O22" i="3"/>
  <c r="R21" i="3"/>
  <c r="K22" i="3" s="1"/>
  <c r="C22" i="3"/>
  <c r="J21" i="3"/>
  <c r="H22" i="3" l="1"/>
  <c r="I22" i="3" s="1"/>
  <c r="F23" i="3" s="1"/>
  <c r="P22" i="3"/>
  <c r="Q22" i="3" s="1"/>
  <c r="L23" i="3" s="1"/>
  <c r="G23" i="3" l="1"/>
  <c r="C23" i="3"/>
  <c r="R22" i="3"/>
  <c r="K23" i="3" s="1"/>
  <c r="J22" i="3"/>
  <c r="H23" i="3" l="1"/>
  <c r="O23" i="3"/>
  <c r="P23" i="3"/>
  <c r="I23" i="3" l="1"/>
  <c r="F24" i="3" s="1"/>
  <c r="C24" i="3"/>
  <c r="Q23" i="3"/>
  <c r="G24" i="3" l="1"/>
  <c r="H24" i="3" s="1"/>
  <c r="L24" i="3"/>
  <c r="R23" i="3"/>
  <c r="K24" i="3" s="1"/>
  <c r="J23" i="3"/>
  <c r="O24" i="3" l="1"/>
  <c r="P24" i="3"/>
  <c r="Q24" i="3" l="1"/>
  <c r="L25" i="3" s="1"/>
  <c r="I24" i="3"/>
  <c r="F25" i="3" s="1"/>
  <c r="C25" i="3"/>
  <c r="R24" i="3" l="1"/>
  <c r="K25" i="3" s="1"/>
  <c r="G25" i="3"/>
  <c r="H25" i="3" s="1"/>
  <c r="J24" i="3"/>
  <c r="P25" i="3" l="1"/>
  <c r="O25" i="3"/>
  <c r="Q25" i="3" l="1"/>
  <c r="L26" i="3" s="1"/>
  <c r="I25" i="3"/>
  <c r="F26" i="3" s="1"/>
  <c r="C26" i="3"/>
  <c r="G26" i="3" l="1"/>
  <c r="H26" i="3" s="1"/>
  <c r="R25" i="3"/>
  <c r="K26" i="3" s="1"/>
  <c r="J25" i="3"/>
  <c r="O26" i="3" l="1"/>
  <c r="P26" i="3"/>
  <c r="Q26" i="3" l="1"/>
  <c r="L27" i="3" s="1"/>
  <c r="I26" i="3"/>
  <c r="F27" i="3" s="1"/>
  <c r="C27" i="3"/>
  <c r="R26" i="3" l="1"/>
  <c r="K27" i="3" s="1"/>
  <c r="G27" i="3"/>
  <c r="J26" i="3"/>
  <c r="H27" i="3" l="1"/>
  <c r="P27" i="3"/>
  <c r="O27" i="3"/>
  <c r="Q27" i="3" l="1"/>
  <c r="L28" i="3" s="1"/>
  <c r="C28" i="3"/>
  <c r="I27" i="3"/>
  <c r="F28" i="3" s="1"/>
  <c r="G28" i="3" l="1"/>
  <c r="H28" i="3" s="1"/>
  <c r="R27" i="3"/>
  <c r="K28" i="3" s="1"/>
  <c r="J27" i="3"/>
  <c r="O28" i="3" l="1"/>
  <c r="P28" i="3"/>
  <c r="Q28" i="3" l="1"/>
  <c r="L29" i="3" s="1"/>
  <c r="I28" i="3"/>
  <c r="F29" i="3" s="1"/>
  <c r="C29" i="3"/>
  <c r="R28" i="3" l="1"/>
  <c r="K29" i="3" s="1"/>
  <c r="G29" i="3"/>
  <c r="J28" i="3"/>
  <c r="H29" i="3" l="1"/>
  <c r="O29" i="3"/>
  <c r="P29" i="3"/>
  <c r="Q29" i="3" l="1"/>
  <c r="L30" i="3" s="1"/>
  <c r="I29" i="3"/>
  <c r="F30" i="3" s="1"/>
  <c r="C30" i="3"/>
  <c r="R29" i="3" l="1"/>
  <c r="K30" i="3" s="1"/>
  <c r="G30" i="3"/>
  <c r="O30" i="3"/>
  <c r="J29" i="3"/>
  <c r="P30" i="3" l="1"/>
  <c r="Q30" i="3" s="1"/>
  <c r="L31" i="3" s="1"/>
  <c r="H30" i="3"/>
  <c r="C31" i="3" l="1"/>
  <c r="I30" i="3"/>
  <c r="R30" i="3"/>
  <c r="K31" i="3" s="1"/>
  <c r="F31" i="3" l="1"/>
  <c r="G31" i="3"/>
  <c r="J30" i="3"/>
  <c r="H31" i="3" l="1"/>
  <c r="I31" i="3" s="1"/>
  <c r="F32" i="3" s="1"/>
  <c r="P31" i="3"/>
  <c r="O31" i="3"/>
  <c r="Q31" i="3" l="1"/>
  <c r="R31" i="3" s="1"/>
  <c r="K32" i="3" s="1"/>
  <c r="C32" i="3"/>
  <c r="J31" i="3"/>
  <c r="O32" i="3"/>
  <c r="G32" i="3"/>
  <c r="P32" i="3" l="1"/>
  <c r="L32" i="3"/>
  <c r="H32" i="3"/>
  <c r="Q32" i="3" l="1"/>
  <c r="R32" i="3" s="1"/>
  <c r="K33" i="3" s="1"/>
  <c r="I32" i="3"/>
  <c r="F33" i="3" s="1"/>
  <c r="C33" i="3"/>
  <c r="L33" i="3" l="1"/>
  <c r="J32" i="3"/>
  <c r="G33" i="3"/>
  <c r="P33" i="3" s="1"/>
  <c r="O33" i="3"/>
  <c r="Q33" i="3" l="1"/>
  <c r="H33" i="3"/>
  <c r="I33" i="3" s="1"/>
  <c r="C34" i="3" l="1"/>
  <c r="R33" i="3"/>
  <c r="K34" i="3" s="1"/>
  <c r="L34" i="3"/>
  <c r="F34" i="3"/>
  <c r="O34" i="3" s="1"/>
  <c r="J33" i="3"/>
  <c r="G34" i="3"/>
  <c r="P34" i="3" l="1"/>
  <c r="Q34" i="3" s="1"/>
  <c r="L35" i="3" s="1"/>
  <c r="H34" i="3"/>
  <c r="I34" i="3" l="1"/>
  <c r="C35" i="3"/>
  <c r="R34" i="3"/>
  <c r="K35" i="3" s="1"/>
  <c r="F35" i="3" l="1"/>
  <c r="O35" i="3" s="1"/>
  <c r="J34" i="3"/>
  <c r="G35" i="3"/>
  <c r="P35" i="3" s="1"/>
  <c r="Q35" i="3" l="1"/>
  <c r="H35" i="3"/>
  <c r="I35" i="3" l="1"/>
  <c r="C36" i="3"/>
  <c r="R35" i="3"/>
  <c r="K36" i="3" s="1"/>
  <c r="L36" i="3"/>
  <c r="F36" i="3" l="1"/>
  <c r="O36" i="3" s="1"/>
  <c r="J35" i="3"/>
  <c r="G36" i="3"/>
  <c r="P36" i="3" s="1"/>
  <c r="Q36" i="3" l="1"/>
  <c r="L37" i="3" s="1"/>
  <c r="H36" i="3"/>
  <c r="I36" i="3" l="1"/>
  <c r="C37" i="3"/>
  <c r="R36" i="3"/>
  <c r="K37" i="3" s="1"/>
  <c r="F37" i="3" l="1"/>
  <c r="O37" i="3" s="1"/>
  <c r="J36" i="3"/>
  <c r="G37" i="3"/>
  <c r="P37" i="3" s="1"/>
  <c r="Q37" i="3" l="1"/>
  <c r="H37" i="3"/>
  <c r="I37" i="3" l="1"/>
  <c r="C38" i="3"/>
  <c r="R37" i="3"/>
  <c r="K38" i="3" s="1"/>
  <c r="L38" i="3"/>
  <c r="F38" i="3" l="1"/>
  <c r="O38" i="3" s="1"/>
  <c r="G38" i="3"/>
  <c r="P38" i="3" s="1"/>
  <c r="J37" i="3"/>
  <c r="Q38" i="3" l="1"/>
  <c r="L39" i="3" s="1"/>
  <c r="H38" i="3"/>
  <c r="I38" i="3" l="1"/>
  <c r="C39" i="3"/>
  <c r="R38" i="3"/>
  <c r="K39" i="3" s="1"/>
  <c r="F39" i="3" l="1"/>
  <c r="O39" i="3" s="1"/>
  <c r="J38" i="3"/>
  <c r="G39" i="3"/>
  <c r="P39" i="3" s="1"/>
  <c r="Q39" i="3" l="1"/>
  <c r="H39" i="3"/>
  <c r="I39" i="3" l="1"/>
  <c r="C40" i="3"/>
  <c r="R39" i="3"/>
  <c r="K40" i="3" s="1"/>
  <c r="L40" i="3"/>
  <c r="F40" i="3" l="1"/>
  <c r="O40" i="3" s="1"/>
  <c r="J39" i="3"/>
  <c r="G40" i="3"/>
  <c r="P40" i="3" s="1"/>
  <c r="Q40" i="3" l="1"/>
  <c r="L41" i="3" s="1"/>
  <c r="H40" i="3"/>
  <c r="I40" i="3" l="1"/>
  <c r="C41" i="3"/>
  <c r="R40" i="3"/>
  <c r="K41" i="3" s="1"/>
  <c r="F41" i="3" l="1"/>
  <c r="O41" i="3" s="1"/>
  <c r="J40" i="3"/>
  <c r="G41" i="3"/>
  <c r="P41" i="3" s="1"/>
  <c r="Q41" i="3" l="1"/>
  <c r="H41" i="3"/>
  <c r="I41" i="3" l="1"/>
  <c r="C42" i="3"/>
  <c r="R41" i="3"/>
  <c r="K42" i="3" s="1"/>
  <c r="L42" i="3"/>
  <c r="F42" i="3" l="1"/>
  <c r="O42" i="3" s="1"/>
  <c r="J41" i="3"/>
  <c r="G42" i="3"/>
  <c r="P42" i="3" s="1"/>
  <c r="Q42" i="3" l="1"/>
  <c r="L43" i="3" s="1"/>
  <c r="H42" i="3"/>
  <c r="I42" i="3" l="1"/>
  <c r="C43" i="3"/>
  <c r="R42" i="3"/>
  <c r="K43" i="3" s="1"/>
  <c r="F43" i="3" l="1"/>
  <c r="O43" i="3" s="1"/>
  <c r="J42" i="3"/>
  <c r="G43" i="3"/>
  <c r="P43" i="3" s="1"/>
  <c r="Q43" i="3" l="1"/>
  <c r="H43" i="3"/>
  <c r="I43" i="3" l="1"/>
  <c r="C44" i="3"/>
  <c r="R43" i="3"/>
  <c r="K44" i="3" s="1"/>
  <c r="L44" i="3"/>
  <c r="F44" i="3" l="1"/>
  <c r="O44" i="3" s="1"/>
  <c r="G44" i="3"/>
  <c r="P44" i="3" s="1"/>
  <c r="J43" i="3"/>
  <c r="Q44" i="3" l="1"/>
  <c r="L45" i="3" s="1"/>
  <c r="H44" i="3"/>
  <c r="I44" i="3" l="1"/>
  <c r="C45" i="3"/>
  <c r="R44" i="3"/>
  <c r="K45" i="3" s="1"/>
  <c r="F45" i="3" l="1"/>
  <c r="O45" i="3" s="1"/>
  <c r="J44" i="3"/>
  <c r="G45" i="3"/>
  <c r="P45" i="3" s="1"/>
  <c r="Q45" i="3" l="1"/>
  <c r="H45" i="3"/>
  <c r="I45" i="3" l="1"/>
  <c r="C46" i="3"/>
  <c r="R45" i="3"/>
  <c r="K46" i="3" s="1"/>
  <c r="L46" i="3"/>
  <c r="F46" i="3" l="1"/>
  <c r="O46" i="3" s="1"/>
  <c r="J45" i="3"/>
  <c r="G46" i="3"/>
  <c r="P46" i="3" s="1"/>
  <c r="Q46" i="3" l="1"/>
  <c r="L47" i="3" s="1"/>
  <c r="H46" i="3"/>
  <c r="I46" i="3" l="1"/>
  <c r="C47" i="3"/>
  <c r="R46" i="3"/>
  <c r="K47" i="3" s="1"/>
  <c r="F47" i="3" l="1"/>
  <c r="O47" i="3" s="1"/>
  <c r="J46" i="3"/>
  <c r="G47" i="3"/>
  <c r="P47" i="3" s="1"/>
  <c r="Q47" i="3" l="1"/>
  <c r="H47" i="3"/>
  <c r="I47" i="3" l="1"/>
  <c r="C48" i="3"/>
  <c r="R47" i="3"/>
  <c r="K48" i="3" s="1"/>
  <c r="L48" i="3"/>
  <c r="F48" i="3" l="1"/>
  <c r="O48" i="3" s="1"/>
  <c r="J47" i="3"/>
  <c r="G48" i="3"/>
  <c r="P48" i="3" s="1"/>
  <c r="Q48" i="3" l="1"/>
  <c r="L49" i="3" s="1"/>
  <c r="H48" i="3"/>
  <c r="I48" i="3" l="1"/>
  <c r="C49" i="3"/>
  <c r="R48" i="3"/>
  <c r="K49" i="3" s="1"/>
  <c r="F49" i="3" l="1"/>
  <c r="O49" i="3" s="1"/>
  <c r="G49" i="3"/>
  <c r="P49" i="3" s="1"/>
  <c r="J48" i="3"/>
  <c r="Q49" i="3" l="1"/>
  <c r="H49" i="3"/>
  <c r="I49" i="3" l="1"/>
  <c r="C50" i="3"/>
  <c r="R49" i="3"/>
  <c r="K50" i="3" s="1"/>
  <c r="L50" i="3"/>
  <c r="F50" i="3" l="1"/>
  <c r="O50" i="3" s="1"/>
  <c r="G50" i="3"/>
  <c r="P50" i="3" s="1"/>
  <c r="J49" i="3"/>
  <c r="Q50" i="3" l="1"/>
  <c r="L51" i="3" s="1"/>
  <c r="H50" i="3"/>
  <c r="I50" i="3" l="1"/>
  <c r="C51" i="3"/>
  <c r="R50" i="3"/>
  <c r="K51" i="3" s="1"/>
  <c r="F51" i="3" l="1"/>
  <c r="O51" i="3" s="1"/>
  <c r="J50" i="3"/>
  <c r="G51" i="3"/>
  <c r="P51" i="3" s="1"/>
  <c r="Q51" i="3" l="1"/>
  <c r="H51" i="3"/>
  <c r="I51" i="3" l="1"/>
  <c r="C52" i="3"/>
  <c r="R51" i="3"/>
  <c r="K52" i="3" s="1"/>
  <c r="L52" i="3"/>
  <c r="F52" i="3" l="1"/>
  <c r="O52" i="3" s="1"/>
  <c r="J51" i="3"/>
  <c r="G52" i="3"/>
  <c r="P52" i="3" s="1"/>
  <c r="Q52" i="3" l="1"/>
  <c r="L53" i="3" s="1"/>
  <c r="H52" i="3"/>
  <c r="I52" i="3" l="1"/>
  <c r="C53" i="3"/>
  <c r="R52" i="3"/>
  <c r="K53" i="3" s="1"/>
  <c r="F53" i="3" l="1"/>
  <c r="O53" i="3" s="1"/>
  <c r="J52" i="3"/>
  <c r="G53" i="3"/>
  <c r="P53" i="3" s="1"/>
  <c r="Q53" i="3" l="1"/>
  <c r="H53" i="3"/>
  <c r="I53" i="3" l="1"/>
  <c r="C54" i="3"/>
  <c r="R53" i="3"/>
  <c r="K54" i="3" s="1"/>
  <c r="L54" i="3"/>
  <c r="F54" i="3" l="1"/>
  <c r="O54" i="3" s="1"/>
  <c r="J53" i="3"/>
  <c r="G54" i="3"/>
  <c r="P54" i="3" s="1"/>
  <c r="Q54" i="3" l="1"/>
  <c r="L55" i="3" s="1"/>
  <c r="H54" i="3"/>
  <c r="I54" i="3" l="1"/>
  <c r="C55" i="3"/>
  <c r="R54" i="3"/>
  <c r="K55" i="3" s="1"/>
  <c r="F55" i="3" l="1"/>
  <c r="O55" i="3" s="1"/>
  <c r="J54" i="3"/>
  <c r="G55" i="3"/>
  <c r="P55" i="3" s="1"/>
  <c r="Q55" i="3" l="1"/>
  <c r="H55" i="3"/>
  <c r="I55" i="3" l="1"/>
  <c r="C56" i="3"/>
  <c r="R55" i="3"/>
  <c r="K56" i="3" s="1"/>
  <c r="L56" i="3"/>
  <c r="F56" i="3" l="1"/>
  <c r="O56" i="3" s="1"/>
  <c r="J55" i="3"/>
  <c r="G56" i="3"/>
  <c r="P56" i="3" s="1"/>
  <c r="Q56" i="3" l="1"/>
  <c r="L57" i="3" s="1"/>
  <c r="H56" i="3"/>
  <c r="I56" i="3" l="1"/>
  <c r="C57" i="3"/>
  <c r="R56" i="3"/>
  <c r="K57" i="3" s="1"/>
  <c r="F57" i="3" l="1"/>
  <c r="O57" i="3" s="1"/>
  <c r="G57" i="3"/>
  <c r="P57" i="3" s="1"/>
  <c r="J56" i="3"/>
  <c r="Q57" i="3" l="1"/>
  <c r="H57" i="3"/>
  <c r="I57" i="3" l="1"/>
  <c r="C58" i="3"/>
  <c r="R57" i="3"/>
  <c r="K58" i="3" s="1"/>
  <c r="L58" i="3"/>
  <c r="F58" i="3" l="1"/>
  <c r="O58" i="3" s="1"/>
  <c r="J57" i="3"/>
  <c r="G58" i="3"/>
  <c r="P58" i="3" s="1"/>
  <c r="Q58" i="3" l="1"/>
  <c r="L59" i="3" s="1"/>
  <c r="H58" i="3"/>
  <c r="I58" i="3" l="1"/>
  <c r="C59" i="3"/>
  <c r="R58" i="3"/>
  <c r="K59" i="3" s="1"/>
  <c r="F59" i="3" l="1"/>
  <c r="O59" i="3" s="1"/>
  <c r="G59" i="3"/>
  <c r="P59" i="3" s="1"/>
  <c r="J58" i="3"/>
  <c r="Q59" i="3" l="1"/>
  <c r="H59" i="3"/>
  <c r="I59" i="3" l="1"/>
  <c r="C60" i="3"/>
  <c r="R59" i="3"/>
  <c r="K60" i="3" s="1"/>
  <c r="L60" i="3"/>
  <c r="F60" i="3" l="1"/>
  <c r="O60" i="3" s="1"/>
  <c r="J59" i="3"/>
  <c r="G60" i="3"/>
  <c r="P60" i="3" s="1"/>
  <c r="Q60" i="3" l="1"/>
  <c r="L61" i="3" s="1"/>
  <c r="H60" i="3"/>
  <c r="I60" i="3" l="1"/>
  <c r="C61" i="3"/>
  <c r="R60" i="3"/>
  <c r="K61" i="3" s="1"/>
  <c r="F61" i="3" l="1"/>
  <c r="O61" i="3" s="1"/>
  <c r="G61" i="3"/>
  <c r="P61" i="3" s="1"/>
  <c r="J60" i="3"/>
  <c r="Q61" i="3" l="1"/>
  <c r="H61" i="3"/>
  <c r="I61" i="3" l="1"/>
  <c r="C62" i="3"/>
  <c r="R61" i="3"/>
  <c r="K62" i="3" s="1"/>
  <c r="L62" i="3"/>
  <c r="F62" i="3" l="1"/>
  <c r="O62" i="3" s="1"/>
  <c r="J61" i="3"/>
  <c r="G62" i="3"/>
  <c r="P62" i="3" s="1"/>
  <c r="Q62" i="3" l="1"/>
  <c r="L63" i="3" s="1"/>
  <c r="H62" i="3"/>
  <c r="I62" i="3" l="1"/>
  <c r="C63" i="3"/>
  <c r="R62" i="3"/>
  <c r="K63" i="3" s="1"/>
  <c r="F63" i="3" l="1"/>
  <c r="O63" i="3" s="1"/>
  <c r="J62" i="3"/>
  <c r="G63" i="3"/>
  <c r="P63" i="3" s="1"/>
  <c r="Q63" i="3" l="1"/>
  <c r="H63" i="3"/>
  <c r="I63" i="3" l="1"/>
  <c r="C64" i="3"/>
  <c r="R63" i="3"/>
  <c r="K64" i="3" s="1"/>
  <c r="L64" i="3"/>
  <c r="F64" i="3" l="1"/>
  <c r="O64" i="3" s="1"/>
  <c r="G64" i="3"/>
  <c r="P64" i="3" s="1"/>
  <c r="J63" i="3"/>
  <c r="Q64" i="3" l="1"/>
  <c r="L65" i="3" s="1"/>
  <c r="H64" i="3"/>
  <c r="I64" i="3" l="1"/>
  <c r="C65" i="3"/>
  <c r="R64" i="3"/>
  <c r="K65" i="3" s="1"/>
  <c r="F65" i="3" l="1"/>
  <c r="O65" i="3" s="1"/>
  <c r="J64" i="3"/>
  <c r="G65" i="3"/>
  <c r="P65" i="3" s="1"/>
  <c r="Q65" i="3" l="1"/>
  <c r="H65" i="3"/>
  <c r="I65" i="3" l="1"/>
  <c r="C66" i="3"/>
  <c r="R65" i="3"/>
  <c r="K66" i="3" s="1"/>
  <c r="L66" i="3"/>
  <c r="F66" i="3" l="1"/>
  <c r="O66" i="3" s="1"/>
  <c r="J65" i="3"/>
  <c r="G66" i="3"/>
  <c r="P66" i="3" s="1"/>
  <c r="Q66" i="3" l="1"/>
  <c r="L67" i="3" s="1"/>
  <c r="H66" i="3"/>
  <c r="I66" i="3" l="1"/>
  <c r="C67" i="3"/>
  <c r="R66" i="3"/>
  <c r="K67" i="3" s="1"/>
  <c r="F67" i="3" l="1"/>
  <c r="O67" i="3" s="1"/>
  <c r="J66" i="3"/>
  <c r="G67" i="3"/>
  <c r="P67" i="3" s="1"/>
  <c r="Q67" i="3" l="1"/>
  <c r="H67" i="3"/>
  <c r="I67" i="3" l="1"/>
  <c r="C68" i="3"/>
  <c r="R67" i="3"/>
  <c r="K68" i="3" s="1"/>
  <c r="L68" i="3"/>
  <c r="F68" i="3" l="1"/>
  <c r="O68" i="3" s="1"/>
  <c r="J67" i="3"/>
  <c r="G68" i="3"/>
  <c r="P68" i="3" s="1"/>
  <c r="Q68" i="3" l="1"/>
  <c r="L69" i="3" s="1"/>
  <c r="H68" i="3"/>
  <c r="I68" i="3" l="1"/>
  <c r="C69" i="3"/>
  <c r="R68" i="3"/>
  <c r="K69" i="3" s="1"/>
  <c r="F69" i="3" l="1"/>
  <c r="O69" i="3" s="1"/>
  <c r="J68" i="3"/>
  <c r="G69" i="3"/>
  <c r="P69" i="3" s="1"/>
  <c r="Q69" i="3" l="1"/>
  <c r="H69" i="3"/>
  <c r="I69" i="3" l="1"/>
  <c r="C70" i="3"/>
  <c r="R69" i="3"/>
  <c r="K70" i="3" s="1"/>
  <c r="L70" i="3"/>
  <c r="F70" i="3" l="1"/>
  <c r="O70" i="3" s="1"/>
  <c r="J69" i="3"/>
  <c r="G70" i="3"/>
  <c r="P70" i="3" s="1"/>
  <c r="Q70" i="3" l="1"/>
  <c r="L71" i="3" s="1"/>
  <c r="H70" i="3"/>
  <c r="I70" i="3" l="1"/>
  <c r="C71" i="3"/>
  <c r="R70" i="3"/>
  <c r="K71" i="3" s="1"/>
  <c r="F71" i="3" l="1"/>
  <c r="O71" i="3" s="1"/>
  <c r="J70" i="3"/>
  <c r="G71" i="3"/>
  <c r="P71" i="3" s="1"/>
  <c r="Q71" i="3" l="1"/>
  <c r="H71" i="3"/>
  <c r="I71" i="3" l="1"/>
  <c r="C72" i="3"/>
  <c r="R71" i="3"/>
  <c r="K72" i="3" s="1"/>
  <c r="L72" i="3"/>
  <c r="F72" i="3" l="1"/>
  <c r="O72" i="3" s="1"/>
  <c r="J71" i="3"/>
  <c r="G72" i="3"/>
  <c r="P72" i="3" s="1"/>
  <c r="Q72" i="3" l="1"/>
  <c r="L73" i="3" s="1"/>
  <c r="H72" i="3"/>
  <c r="I72" i="3" l="1"/>
  <c r="C73" i="3"/>
  <c r="R72" i="3"/>
  <c r="K73" i="3" s="1"/>
  <c r="F73" i="3" l="1"/>
  <c r="O73" i="3" s="1"/>
  <c r="G73" i="3"/>
  <c r="P73" i="3" s="1"/>
  <c r="J72" i="3"/>
  <c r="Q73" i="3" l="1"/>
  <c r="H73" i="3"/>
  <c r="I73" i="3" l="1"/>
  <c r="C74" i="3"/>
  <c r="R73" i="3"/>
  <c r="K74" i="3" s="1"/>
  <c r="L74" i="3"/>
  <c r="F74" i="3" l="1"/>
  <c r="O74" i="3" s="1"/>
  <c r="J73" i="3"/>
  <c r="G74" i="3"/>
  <c r="P74" i="3" s="1"/>
  <c r="Q74" i="3" l="1"/>
  <c r="L75" i="3" s="1"/>
  <c r="H74" i="3"/>
  <c r="I74" i="3" l="1"/>
  <c r="C75" i="3"/>
  <c r="R74" i="3"/>
  <c r="K75" i="3" s="1"/>
  <c r="F75" i="3" l="1"/>
  <c r="O75" i="3" s="1"/>
  <c r="J74" i="3"/>
  <c r="G75" i="3"/>
  <c r="P75" i="3" s="1"/>
  <c r="Q75" i="3" l="1"/>
  <c r="H75" i="3"/>
  <c r="I75" i="3" l="1"/>
  <c r="C76" i="3"/>
  <c r="R75" i="3"/>
  <c r="K76" i="3" s="1"/>
  <c r="L76" i="3"/>
  <c r="F76" i="3" l="1"/>
  <c r="O76" i="3" s="1"/>
  <c r="J75" i="3"/>
  <c r="G76" i="3"/>
  <c r="P76" i="3" s="1"/>
  <c r="Q76" i="3" l="1"/>
  <c r="L77" i="3" s="1"/>
  <c r="H76" i="3"/>
  <c r="I76" i="3" l="1"/>
  <c r="C77" i="3"/>
  <c r="R76" i="3"/>
  <c r="K77" i="3" s="1"/>
  <c r="F77" i="3" l="1"/>
  <c r="O77" i="3" s="1"/>
  <c r="G77" i="3"/>
  <c r="P77" i="3" s="1"/>
  <c r="J76" i="3"/>
  <c r="Q77" i="3" l="1"/>
  <c r="H77" i="3"/>
  <c r="I77" i="3" l="1"/>
  <c r="C78" i="3"/>
  <c r="R77" i="3"/>
  <c r="K78" i="3" s="1"/>
  <c r="L78" i="3"/>
  <c r="F78" i="3" l="1"/>
  <c r="O78" i="3" s="1"/>
  <c r="J77" i="3"/>
  <c r="G78" i="3"/>
  <c r="P78" i="3" s="1"/>
  <c r="Q78" i="3" l="1"/>
  <c r="L79" i="3" s="1"/>
  <c r="H78" i="3"/>
  <c r="I78" i="3" l="1"/>
  <c r="C79" i="3"/>
  <c r="R78" i="3"/>
  <c r="K79" i="3" s="1"/>
  <c r="F79" i="3" l="1"/>
  <c r="O79" i="3" s="1"/>
  <c r="J78" i="3"/>
  <c r="G79" i="3"/>
  <c r="P79" i="3" s="1"/>
  <c r="Q79" i="3" l="1"/>
  <c r="H79" i="3"/>
  <c r="I79" i="3" l="1"/>
  <c r="C80" i="3"/>
  <c r="R79" i="3"/>
  <c r="K80" i="3" s="1"/>
  <c r="L80" i="3"/>
  <c r="F80" i="3" l="1"/>
  <c r="O80" i="3" s="1"/>
  <c r="J79" i="3"/>
  <c r="G80" i="3"/>
  <c r="P80" i="3" s="1"/>
  <c r="Q80" i="3" l="1"/>
  <c r="L81" i="3" s="1"/>
  <c r="H80" i="3"/>
  <c r="I80" i="3" l="1"/>
  <c r="C81" i="3"/>
  <c r="R80" i="3"/>
  <c r="K81" i="3" s="1"/>
  <c r="F81" i="3" l="1"/>
  <c r="O81" i="3" s="1"/>
  <c r="G81" i="3"/>
  <c r="P81" i="3" s="1"/>
  <c r="J80" i="3"/>
  <c r="Q81" i="3" l="1"/>
  <c r="H81" i="3"/>
  <c r="I81" i="3" l="1"/>
  <c r="C82" i="3"/>
  <c r="R81" i="3"/>
  <c r="K82" i="3" s="1"/>
  <c r="L82" i="3"/>
  <c r="F82" i="3" l="1"/>
  <c r="O82" i="3" s="1"/>
  <c r="J81" i="3"/>
  <c r="G82" i="3"/>
  <c r="P82" i="3" s="1"/>
  <c r="Q82" i="3" l="1"/>
  <c r="L83" i="3" s="1"/>
  <c r="H82" i="3"/>
  <c r="I82" i="3" l="1"/>
  <c r="C83" i="3"/>
  <c r="R82" i="3"/>
  <c r="K83" i="3" s="1"/>
  <c r="F83" i="3" l="1"/>
  <c r="O83" i="3" s="1"/>
  <c r="G83" i="3"/>
  <c r="P83" i="3" s="1"/>
  <c r="J82" i="3"/>
  <c r="Q83" i="3" l="1"/>
  <c r="H83" i="3"/>
  <c r="I83" i="3" l="1"/>
  <c r="C84" i="3"/>
  <c r="R83" i="3"/>
  <c r="K84" i="3" s="1"/>
  <c r="L84" i="3"/>
  <c r="F84" i="3" l="1"/>
  <c r="O84" i="3" s="1"/>
  <c r="J83" i="3"/>
  <c r="G84" i="3"/>
  <c r="P84" i="3" s="1"/>
  <c r="Q84" i="3" l="1"/>
  <c r="L85" i="3" s="1"/>
  <c r="H84" i="3"/>
  <c r="I84" i="3" l="1"/>
  <c r="C85" i="3"/>
  <c r="R84" i="3"/>
  <c r="K85" i="3" s="1"/>
  <c r="F85" i="3" l="1"/>
  <c r="O85" i="3" s="1"/>
  <c r="J84" i="3"/>
  <c r="G85" i="3"/>
  <c r="P85" i="3" s="1"/>
  <c r="Q85" i="3" l="1"/>
  <c r="H85" i="3"/>
  <c r="I85" i="3" l="1"/>
  <c r="C86" i="3"/>
  <c r="R85" i="3"/>
  <c r="K86" i="3" s="1"/>
  <c r="L86" i="3"/>
  <c r="F86" i="3" l="1"/>
  <c r="O86" i="3" s="1"/>
  <c r="J85" i="3"/>
  <c r="G86" i="3"/>
  <c r="P86" i="3" s="1"/>
  <c r="Q86" i="3" l="1"/>
  <c r="L87" i="3" s="1"/>
  <c r="H86" i="3"/>
  <c r="I86" i="3" l="1"/>
  <c r="C87" i="3"/>
  <c r="R86" i="3"/>
  <c r="K87" i="3" s="1"/>
  <c r="F87" i="3" l="1"/>
  <c r="O87" i="3" s="1"/>
  <c r="J86" i="3"/>
  <c r="G87" i="3"/>
  <c r="P87" i="3" s="1"/>
  <c r="Q87" i="3" l="1"/>
  <c r="H87" i="3"/>
  <c r="I87" i="3" l="1"/>
  <c r="C88" i="3"/>
  <c r="R87" i="3"/>
  <c r="K88" i="3" s="1"/>
  <c r="L88" i="3"/>
  <c r="F88" i="3" l="1"/>
  <c r="O88" i="3" s="1"/>
  <c r="J87" i="3"/>
  <c r="G88" i="3"/>
  <c r="P88" i="3" s="1"/>
  <c r="Q88" i="3" l="1"/>
  <c r="L89" i="3" s="1"/>
  <c r="H88" i="3"/>
  <c r="I88" i="3" l="1"/>
  <c r="C89" i="3"/>
  <c r="R88" i="3"/>
  <c r="K89" i="3" s="1"/>
  <c r="F89" i="3" l="1"/>
  <c r="O89" i="3" s="1"/>
  <c r="G89" i="3"/>
  <c r="P89" i="3" s="1"/>
  <c r="J88" i="3"/>
  <c r="Q89" i="3" l="1"/>
  <c r="H89" i="3"/>
  <c r="I89" i="3" l="1"/>
  <c r="C90" i="3"/>
  <c r="R89" i="3"/>
  <c r="K90" i="3" s="1"/>
  <c r="L90" i="3"/>
  <c r="F90" i="3" l="1"/>
  <c r="O90" i="3" s="1"/>
  <c r="J89" i="3"/>
  <c r="G90" i="3"/>
  <c r="P90" i="3" s="1"/>
  <c r="Q90" i="3" l="1"/>
  <c r="L91" i="3" s="1"/>
  <c r="H90" i="3"/>
  <c r="I90" i="3" l="1"/>
  <c r="C91" i="3"/>
  <c r="R90" i="3"/>
  <c r="K91" i="3" s="1"/>
  <c r="F91" i="3" l="1"/>
  <c r="O91" i="3" s="1"/>
  <c r="J90" i="3"/>
  <c r="G91" i="3"/>
  <c r="P91" i="3" s="1"/>
  <c r="Q91" i="3" l="1"/>
  <c r="H91" i="3"/>
  <c r="I91" i="3" l="1"/>
  <c r="C92" i="3"/>
  <c r="R91" i="3"/>
  <c r="K92" i="3" s="1"/>
  <c r="L92" i="3"/>
  <c r="F92" i="3" l="1"/>
  <c r="O92" i="3" s="1"/>
  <c r="J91" i="3"/>
  <c r="G92" i="3"/>
  <c r="P92" i="3" s="1"/>
  <c r="Q92" i="3" l="1"/>
  <c r="L93" i="3" s="1"/>
  <c r="H92" i="3"/>
  <c r="I92" i="3" l="1"/>
  <c r="C93" i="3"/>
  <c r="R92" i="3"/>
  <c r="K93" i="3" s="1"/>
  <c r="F93" i="3" l="1"/>
  <c r="O93" i="3" s="1"/>
  <c r="J92" i="3"/>
  <c r="G93" i="3"/>
  <c r="P93" i="3" s="1"/>
  <c r="Q93" i="3" l="1"/>
  <c r="H93" i="3"/>
  <c r="I93" i="3" l="1"/>
  <c r="C94" i="3"/>
  <c r="R93" i="3"/>
  <c r="K94" i="3" s="1"/>
  <c r="L94" i="3"/>
  <c r="F94" i="3" l="1"/>
  <c r="O94" i="3" s="1"/>
  <c r="G94" i="3"/>
  <c r="P94" i="3" s="1"/>
  <c r="J93" i="3"/>
  <c r="Q94" i="3" l="1"/>
  <c r="L95" i="3" s="1"/>
  <c r="H94" i="3"/>
  <c r="I94" i="3" l="1"/>
  <c r="C95" i="3"/>
  <c r="R94" i="3"/>
  <c r="K95" i="3" s="1"/>
  <c r="F95" i="3" l="1"/>
  <c r="O95" i="3" s="1"/>
  <c r="J94" i="3"/>
  <c r="G95" i="3"/>
  <c r="P95" i="3" s="1"/>
  <c r="Q95" i="3" l="1"/>
  <c r="H95" i="3"/>
  <c r="I95" i="3" l="1"/>
  <c r="C96" i="3"/>
  <c r="R95" i="3"/>
  <c r="K96" i="3" s="1"/>
  <c r="L96" i="3"/>
  <c r="F96" i="3" l="1"/>
  <c r="O96" i="3" s="1"/>
  <c r="J95" i="3"/>
  <c r="G96" i="3"/>
  <c r="P96" i="3" s="1"/>
  <c r="Q96" i="3" l="1"/>
  <c r="L97" i="3" s="1"/>
  <c r="H96" i="3"/>
  <c r="I96" i="3" l="1"/>
  <c r="C97" i="3"/>
  <c r="R96" i="3"/>
  <c r="K97" i="3" s="1"/>
  <c r="F97" i="3" l="1"/>
  <c r="O97" i="3" s="1"/>
  <c r="J96" i="3"/>
  <c r="G97" i="3"/>
  <c r="P97" i="3" s="1"/>
  <c r="Q97" i="3" l="1"/>
  <c r="H97" i="3"/>
  <c r="I97" i="3" l="1"/>
  <c r="C98" i="3"/>
  <c r="R97" i="3"/>
  <c r="K98" i="3" s="1"/>
  <c r="L98" i="3"/>
  <c r="F98" i="3" l="1"/>
  <c r="O98" i="3" s="1"/>
  <c r="J97" i="3"/>
  <c r="G98" i="3"/>
  <c r="P98" i="3" s="1"/>
  <c r="Q98" i="3" l="1"/>
  <c r="L99" i="3" s="1"/>
  <c r="H98" i="3"/>
  <c r="I98" i="3" l="1"/>
  <c r="C99" i="3"/>
  <c r="R98" i="3"/>
  <c r="K99" i="3" s="1"/>
  <c r="F99" i="3" l="1"/>
  <c r="O99" i="3" s="1"/>
  <c r="J98" i="3"/>
  <c r="G99" i="3"/>
  <c r="P99" i="3" s="1"/>
  <c r="Q99" i="3" l="1"/>
  <c r="H99" i="3"/>
  <c r="I99" i="3" l="1"/>
  <c r="C100" i="3"/>
  <c r="R99" i="3"/>
  <c r="K100" i="3" s="1"/>
  <c r="L100" i="3"/>
  <c r="F100" i="3" l="1"/>
  <c r="O100" i="3" s="1"/>
  <c r="J99" i="3"/>
  <c r="G100" i="3"/>
  <c r="P100" i="3" s="1"/>
  <c r="Q100" i="3" l="1"/>
  <c r="L101" i="3" s="1"/>
  <c r="H100" i="3"/>
  <c r="I100" i="3" l="1"/>
  <c r="C101" i="3"/>
  <c r="R100" i="3"/>
  <c r="K101" i="3" s="1"/>
  <c r="F101" i="3" l="1"/>
  <c r="O101" i="3" s="1"/>
  <c r="G101" i="3"/>
  <c r="P101" i="3" s="1"/>
  <c r="J100" i="3"/>
  <c r="Q101" i="3" l="1"/>
  <c r="H101" i="3"/>
  <c r="I101" i="3" l="1"/>
  <c r="C102" i="3"/>
  <c r="R101" i="3"/>
  <c r="K102" i="3" s="1"/>
  <c r="L102" i="3"/>
  <c r="F102" i="3" l="1"/>
  <c r="O102" i="3" s="1"/>
  <c r="J101" i="3"/>
  <c r="G102" i="3"/>
  <c r="P102" i="3" s="1"/>
  <c r="Q102" i="3" l="1"/>
  <c r="L103" i="3" s="1"/>
  <c r="H102" i="3"/>
  <c r="I102" i="3" l="1"/>
  <c r="C103" i="3"/>
  <c r="R102" i="3"/>
  <c r="K103" i="3" s="1"/>
  <c r="F103" i="3" l="1"/>
  <c r="O103" i="3" s="1"/>
  <c r="G103" i="3"/>
  <c r="P103" i="3" s="1"/>
  <c r="J102" i="3"/>
  <c r="Q103" i="3" l="1"/>
  <c r="H103" i="3"/>
  <c r="I103" i="3" l="1"/>
  <c r="C104" i="3"/>
  <c r="R103" i="3"/>
  <c r="K104" i="3" s="1"/>
  <c r="L104" i="3"/>
  <c r="F104" i="3" l="1"/>
  <c r="O104" i="3" s="1"/>
  <c r="J103" i="3"/>
  <c r="G104" i="3"/>
  <c r="P104" i="3" s="1"/>
  <c r="Q104" i="3" l="1"/>
  <c r="L105" i="3" s="1"/>
  <c r="H104" i="3"/>
  <c r="I104" i="3" l="1"/>
  <c r="C105" i="3"/>
  <c r="R104" i="3"/>
  <c r="K105" i="3" s="1"/>
  <c r="F105" i="3" l="1"/>
  <c r="O105" i="3" s="1"/>
  <c r="J104" i="3"/>
  <c r="G105" i="3"/>
  <c r="P105" i="3" s="1"/>
  <c r="Q105" i="3" l="1"/>
  <c r="H105" i="3"/>
  <c r="I105" i="3" l="1"/>
  <c r="C106" i="3"/>
  <c r="R105" i="3"/>
  <c r="K106" i="3" s="1"/>
  <c r="L106" i="3"/>
  <c r="F106" i="3" l="1"/>
  <c r="O106" i="3" s="1"/>
  <c r="J105" i="3"/>
  <c r="G106" i="3"/>
  <c r="P106" i="3" s="1"/>
  <c r="Q106" i="3" l="1"/>
  <c r="L107" i="3" s="1"/>
  <c r="H106" i="3"/>
  <c r="I106" i="3" l="1"/>
  <c r="C107" i="3"/>
  <c r="R106" i="3"/>
  <c r="K107" i="3" s="1"/>
  <c r="F107" i="3" l="1"/>
  <c r="O107" i="3" s="1"/>
  <c r="G107" i="3"/>
  <c r="P107" i="3" s="1"/>
  <c r="J106" i="3"/>
  <c r="Q107" i="3" l="1"/>
  <c r="H107" i="3"/>
  <c r="I107" i="3" l="1"/>
  <c r="C108" i="3"/>
  <c r="R107" i="3"/>
  <c r="K108" i="3" s="1"/>
  <c r="L108" i="3"/>
  <c r="F108" i="3" l="1"/>
  <c r="O108" i="3" s="1"/>
  <c r="J107" i="3"/>
  <c r="G108" i="3"/>
  <c r="P108" i="3" s="1"/>
  <c r="Q108" i="3" l="1"/>
  <c r="L109" i="3" s="1"/>
  <c r="H108" i="3"/>
  <c r="I108" i="3" l="1"/>
  <c r="C109" i="3"/>
  <c r="R108" i="3"/>
  <c r="K109" i="3" s="1"/>
  <c r="F109" i="3" l="1"/>
  <c r="O109" i="3" s="1"/>
  <c r="G109" i="3"/>
  <c r="P109" i="3" s="1"/>
  <c r="J108" i="3"/>
  <c r="Q109" i="3" l="1"/>
  <c r="H109" i="3"/>
  <c r="I109" i="3" l="1"/>
  <c r="C110" i="3"/>
  <c r="R109" i="3"/>
  <c r="K110" i="3" s="1"/>
  <c r="L110" i="3"/>
  <c r="F110" i="3" l="1"/>
  <c r="O110" i="3" s="1"/>
  <c r="G110" i="3"/>
  <c r="P110" i="3" s="1"/>
  <c r="J109" i="3"/>
  <c r="Q110" i="3" l="1"/>
  <c r="L111" i="3" s="1"/>
  <c r="H110" i="3"/>
  <c r="I110" i="3" l="1"/>
  <c r="C111" i="3"/>
  <c r="R110" i="3"/>
  <c r="K111" i="3" s="1"/>
  <c r="F111" i="3" l="1"/>
  <c r="O111" i="3" s="1"/>
  <c r="J110" i="3"/>
  <c r="G111" i="3"/>
  <c r="P111" i="3" s="1"/>
  <c r="Q111" i="3" l="1"/>
  <c r="H111" i="3"/>
  <c r="I111" i="3" l="1"/>
  <c r="C112" i="3"/>
  <c r="R111" i="3"/>
  <c r="K112" i="3" s="1"/>
  <c r="L112" i="3"/>
  <c r="F112" i="3" l="1"/>
  <c r="O112" i="3" s="1"/>
  <c r="J111" i="3"/>
  <c r="G112" i="3"/>
  <c r="P112" i="3" s="1"/>
  <c r="Q112" i="3" l="1"/>
  <c r="L113" i="3" s="1"/>
  <c r="H112" i="3"/>
  <c r="I112" i="3" l="1"/>
  <c r="C113" i="3"/>
  <c r="R112" i="3"/>
  <c r="K113" i="3" s="1"/>
  <c r="F113" i="3" l="1"/>
  <c r="O113" i="3" s="1"/>
  <c r="J112" i="3"/>
  <c r="G113" i="3"/>
  <c r="P113" i="3" s="1"/>
  <c r="Q113" i="3" l="1"/>
  <c r="H113" i="3"/>
  <c r="I113" i="3" l="1"/>
  <c r="C114" i="3"/>
  <c r="R113" i="3"/>
  <c r="K114" i="3" s="1"/>
  <c r="L114" i="3"/>
  <c r="F114" i="3" l="1"/>
  <c r="O114" i="3" s="1"/>
  <c r="J113" i="3"/>
  <c r="G114" i="3"/>
  <c r="P114" i="3" s="1"/>
  <c r="Q114" i="3" l="1"/>
  <c r="L115" i="3" s="1"/>
  <c r="H114" i="3"/>
  <c r="I114" i="3" l="1"/>
  <c r="C115" i="3"/>
  <c r="R114" i="3"/>
  <c r="K115" i="3" s="1"/>
  <c r="F115" i="3" l="1"/>
  <c r="O115" i="3" s="1"/>
  <c r="J114" i="3"/>
  <c r="G115" i="3"/>
  <c r="P115" i="3" s="1"/>
  <c r="Q115" i="3" l="1"/>
  <c r="H115" i="3"/>
  <c r="I115" i="3" l="1"/>
  <c r="C116" i="3"/>
  <c r="R115" i="3"/>
  <c r="K116" i="3" s="1"/>
  <c r="L116" i="3"/>
  <c r="F116" i="3" l="1"/>
  <c r="O116" i="3" s="1"/>
  <c r="J115" i="3"/>
  <c r="G116" i="3"/>
  <c r="P116" i="3" s="1"/>
  <c r="Q116" i="3" l="1"/>
  <c r="L117" i="3" s="1"/>
  <c r="H116" i="3"/>
  <c r="I116" i="3" l="1"/>
  <c r="C117" i="3"/>
  <c r="R116" i="3"/>
  <c r="K117" i="3" s="1"/>
  <c r="F117" i="3" l="1"/>
  <c r="O117" i="3" s="1"/>
  <c r="J116" i="3"/>
  <c r="G117" i="3"/>
  <c r="P117" i="3" s="1"/>
  <c r="Q117" i="3" l="1"/>
  <c r="H117" i="3"/>
  <c r="I117" i="3" l="1"/>
  <c r="C118" i="3"/>
  <c r="R117" i="3"/>
  <c r="K118" i="3" s="1"/>
  <c r="L118" i="3"/>
  <c r="F118" i="3" l="1"/>
  <c r="O118" i="3" s="1"/>
  <c r="J117" i="3"/>
  <c r="G118" i="3"/>
  <c r="P118" i="3" s="1"/>
  <c r="Q118" i="3" l="1"/>
  <c r="L119" i="3" s="1"/>
  <c r="H118" i="3"/>
  <c r="I118" i="3" l="1"/>
  <c r="C119" i="3"/>
  <c r="R118" i="3"/>
  <c r="K119" i="3" s="1"/>
  <c r="F119" i="3" l="1"/>
  <c r="O119" i="3" s="1"/>
  <c r="J118" i="3"/>
  <c r="G119" i="3"/>
  <c r="P119" i="3" s="1"/>
  <c r="Q119" i="3" l="1"/>
  <c r="H119" i="3"/>
  <c r="I119" i="3" l="1"/>
  <c r="C120" i="3"/>
  <c r="R119" i="3"/>
  <c r="K120" i="3" s="1"/>
  <c r="L120" i="3"/>
  <c r="F120" i="3" l="1"/>
  <c r="O120" i="3" s="1"/>
  <c r="G120" i="3"/>
  <c r="P120" i="3" s="1"/>
  <c r="J119" i="3"/>
  <c r="Q120" i="3" l="1"/>
  <c r="L121" i="3" s="1"/>
  <c r="H120" i="3"/>
  <c r="I120" i="3" l="1"/>
  <c r="C121" i="3"/>
  <c r="R120" i="3"/>
  <c r="K121" i="3" s="1"/>
  <c r="F121" i="3" l="1"/>
  <c r="O121" i="3" s="1"/>
  <c r="J120" i="3"/>
  <c r="G121" i="3"/>
  <c r="P121" i="3" s="1"/>
  <c r="Q121" i="3" l="1"/>
  <c r="H121" i="3"/>
  <c r="I121" i="3" l="1"/>
  <c r="C122" i="3"/>
  <c r="R121" i="3"/>
  <c r="K122" i="3" s="1"/>
  <c r="L122" i="3"/>
  <c r="F122" i="3" l="1"/>
  <c r="O122" i="3" s="1"/>
  <c r="J121" i="3"/>
  <c r="G122" i="3"/>
  <c r="P122" i="3" s="1"/>
  <c r="Q122" i="3" l="1"/>
  <c r="L123" i="3" s="1"/>
  <c r="H122" i="3"/>
  <c r="I122" i="3" l="1"/>
  <c r="C123" i="3"/>
  <c r="R122" i="3"/>
  <c r="K123" i="3" s="1"/>
  <c r="F123" i="3" l="1"/>
  <c r="O123" i="3" s="1"/>
  <c r="J122" i="3"/>
  <c r="G123" i="3"/>
  <c r="P123" i="3" s="1"/>
  <c r="Q123" i="3" l="1"/>
  <c r="H123" i="3"/>
  <c r="I123" i="3" l="1"/>
  <c r="C124" i="3"/>
  <c r="R123" i="3"/>
  <c r="K124" i="3" s="1"/>
  <c r="L124" i="3"/>
  <c r="F124" i="3" l="1"/>
  <c r="O124" i="3" s="1"/>
  <c r="J123" i="3"/>
  <c r="G124" i="3"/>
  <c r="P124" i="3" s="1"/>
  <c r="Q124" i="3" l="1"/>
  <c r="L125" i="3" s="1"/>
  <c r="H124" i="3"/>
  <c r="I124" i="3" l="1"/>
  <c r="C125" i="3"/>
  <c r="R124" i="3"/>
  <c r="K125" i="3" s="1"/>
  <c r="F125" i="3" l="1"/>
  <c r="O125" i="3" s="1"/>
  <c r="J124" i="3"/>
  <c r="G125" i="3"/>
  <c r="P125" i="3" s="1"/>
  <c r="Q125" i="3" l="1"/>
  <c r="H125" i="3"/>
  <c r="I125" i="3" l="1"/>
  <c r="C126" i="3"/>
  <c r="R125" i="3"/>
  <c r="K126" i="3" s="1"/>
  <c r="L126" i="3"/>
  <c r="F126" i="3" l="1"/>
  <c r="O126" i="3" s="1"/>
  <c r="J125" i="3"/>
  <c r="G126" i="3"/>
  <c r="P126" i="3" s="1"/>
  <c r="Q126" i="3" l="1"/>
  <c r="L127" i="3" s="1"/>
  <c r="H126" i="3"/>
  <c r="I126" i="3" l="1"/>
  <c r="C127" i="3"/>
  <c r="R126" i="3"/>
  <c r="K127" i="3" s="1"/>
  <c r="F127" i="3" l="1"/>
  <c r="O127" i="3" s="1"/>
  <c r="J126" i="3"/>
  <c r="G127" i="3"/>
  <c r="P127" i="3" s="1"/>
  <c r="Q127" i="3" l="1"/>
  <c r="H127" i="3"/>
  <c r="I127" i="3" l="1"/>
  <c r="C128" i="3"/>
  <c r="R127" i="3"/>
  <c r="K128" i="3" s="1"/>
  <c r="L128" i="3"/>
  <c r="F128" i="3" l="1"/>
  <c r="O128" i="3" s="1"/>
  <c r="J127" i="3"/>
  <c r="G128" i="3"/>
  <c r="P128" i="3" s="1"/>
  <c r="Q128" i="3" l="1"/>
  <c r="L129" i="3" s="1"/>
  <c r="H128" i="3"/>
  <c r="I128" i="3" l="1"/>
  <c r="C129" i="3"/>
  <c r="R128" i="3"/>
  <c r="K129" i="3" s="1"/>
  <c r="F129" i="3" l="1"/>
  <c r="O129" i="3" s="1"/>
  <c r="J128" i="3"/>
  <c r="G129" i="3"/>
  <c r="P129" i="3" s="1"/>
  <c r="Q129" i="3" l="1"/>
  <c r="H129" i="3"/>
  <c r="I129" i="3" l="1"/>
  <c r="C130" i="3"/>
  <c r="R129" i="3"/>
  <c r="K130" i="3" s="1"/>
  <c r="L130" i="3"/>
  <c r="F130" i="3" l="1"/>
  <c r="O130" i="3" s="1"/>
  <c r="J129" i="3"/>
  <c r="G130" i="3"/>
  <c r="P130" i="3" s="1"/>
  <c r="Q130" i="3" l="1"/>
  <c r="L131" i="3" s="1"/>
  <c r="H130" i="3"/>
  <c r="I130" i="3" l="1"/>
  <c r="C131" i="3"/>
  <c r="R130" i="3"/>
  <c r="K131" i="3" s="1"/>
  <c r="F131" i="3" l="1"/>
  <c r="O131" i="3" s="1"/>
  <c r="G131" i="3"/>
  <c r="P131" i="3" s="1"/>
  <c r="J130" i="3"/>
  <c r="Q131" i="3" l="1"/>
  <c r="H131" i="3"/>
  <c r="I131" i="3" l="1"/>
  <c r="C132" i="3"/>
  <c r="R131" i="3"/>
  <c r="K132" i="3" s="1"/>
  <c r="L132" i="3"/>
  <c r="F132" i="3" l="1"/>
  <c r="O132" i="3" s="1"/>
  <c r="J131" i="3"/>
  <c r="G132" i="3"/>
  <c r="P132" i="3" s="1"/>
  <c r="Q132" i="3" l="1"/>
  <c r="L133" i="3" s="1"/>
  <c r="H132" i="3"/>
  <c r="I132" i="3" l="1"/>
  <c r="C133" i="3"/>
  <c r="R132" i="3"/>
  <c r="K133" i="3" s="1"/>
  <c r="F133" i="3" l="1"/>
  <c r="O133" i="3" s="1"/>
  <c r="J132" i="3"/>
  <c r="G133" i="3"/>
  <c r="P133" i="3" s="1"/>
  <c r="Q133" i="3" l="1"/>
  <c r="H133" i="3"/>
  <c r="I133" i="3" l="1"/>
  <c r="C134" i="3"/>
  <c r="R133" i="3"/>
  <c r="K134" i="3" s="1"/>
  <c r="L134" i="3"/>
  <c r="F134" i="3" l="1"/>
  <c r="O134" i="3" s="1"/>
  <c r="J133" i="3"/>
  <c r="G134" i="3"/>
  <c r="P134" i="3" s="1"/>
  <c r="Q134" i="3" l="1"/>
  <c r="L135" i="3" s="1"/>
  <c r="H134" i="3"/>
  <c r="I134" i="3" l="1"/>
  <c r="C135" i="3"/>
  <c r="R134" i="3"/>
  <c r="K135" i="3" s="1"/>
  <c r="F135" i="3" l="1"/>
  <c r="O135" i="3" s="1"/>
  <c r="J134" i="3"/>
  <c r="G135" i="3"/>
  <c r="P135" i="3" s="1"/>
  <c r="Q135" i="3" l="1"/>
  <c r="H135" i="3"/>
  <c r="I135" i="3" l="1"/>
  <c r="C136" i="3"/>
  <c r="R135" i="3"/>
  <c r="K136" i="3" s="1"/>
  <c r="L136" i="3"/>
  <c r="F136" i="3" l="1"/>
  <c r="O136" i="3" s="1"/>
  <c r="J135" i="3"/>
  <c r="G136" i="3"/>
  <c r="P136" i="3" s="1"/>
  <c r="Q136" i="3" l="1"/>
  <c r="L137" i="3" s="1"/>
  <c r="H136" i="3"/>
  <c r="I136" i="3" l="1"/>
  <c r="C137" i="3"/>
  <c r="R136" i="3"/>
  <c r="K137" i="3" s="1"/>
  <c r="F137" i="3" l="1"/>
  <c r="O137" i="3" s="1"/>
  <c r="G137" i="3"/>
  <c r="P137" i="3" s="1"/>
  <c r="J136" i="3"/>
  <c r="Q137" i="3" l="1"/>
  <c r="H137" i="3"/>
  <c r="I137" i="3" l="1"/>
  <c r="C138" i="3"/>
  <c r="R137" i="3"/>
  <c r="K138" i="3" s="1"/>
  <c r="L138" i="3"/>
  <c r="F138" i="3" l="1"/>
  <c r="O138" i="3" s="1"/>
  <c r="J137" i="3"/>
  <c r="G138" i="3"/>
  <c r="P138" i="3" s="1"/>
  <c r="Q138" i="3" l="1"/>
  <c r="L139" i="3" s="1"/>
  <c r="H138" i="3"/>
  <c r="I138" i="3" l="1"/>
  <c r="C139" i="3"/>
  <c r="R138" i="3"/>
  <c r="K139" i="3" s="1"/>
  <c r="F139" i="3" l="1"/>
  <c r="O139" i="3" s="1"/>
  <c r="J138" i="3"/>
  <c r="G139" i="3"/>
  <c r="P139" i="3" s="1"/>
  <c r="Q139" i="3" l="1"/>
  <c r="H139" i="3"/>
  <c r="I139" i="3" l="1"/>
  <c r="C140" i="3"/>
  <c r="R139" i="3"/>
  <c r="K140" i="3" s="1"/>
  <c r="L140" i="3"/>
  <c r="F140" i="3" l="1"/>
  <c r="O140" i="3" s="1"/>
  <c r="J139" i="3"/>
  <c r="G140" i="3"/>
  <c r="P140" i="3" s="1"/>
  <c r="Q140" i="3" l="1"/>
  <c r="L141" i="3" s="1"/>
  <c r="H140" i="3"/>
  <c r="R140" i="3" l="1"/>
  <c r="K141" i="3" s="1"/>
  <c r="I140" i="3"/>
  <c r="C141" i="3"/>
  <c r="F141" i="3" l="1"/>
  <c r="O141" i="3" s="1"/>
  <c r="J140" i="3"/>
  <c r="G141" i="3"/>
  <c r="P141" i="3" s="1"/>
  <c r="H141" i="3" l="1"/>
  <c r="Q141" i="3"/>
  <c r="R141" i="3" l="1"/>
  <c r="K142" i="3" s="1"/>
  <c r="L142" i="3"/>
  <c r="I141" i="3"/>
  <c r="C142" i="3"/>
  <c r="F142" i="3" l="1"/>
  <c r="O142" i="3" s="1"/>
  <c r="J141" i="3"/>
  <c r="G142" i="3"/>
  <c r="P142" i="3" s="1"/>
  <c r="Q142" i="3" l="1"/>
  <c r="L143" i="3" s="1"/>
  <c r="H142" i="3"/>
  <c r="I142" i="3" l="1"/>
  <c r="C143" i="3"/>
  <c r="R142" i="3"/>
  <c r="K143" i="3" s="1"/>
  <c r="F143" i="3" l="1"/>
  <c r="O143" i="3" s="1"/>
  <c r="J142" i="3"/>
  <c r="G143" i="3"/>
  <c r="P143" i="3" s="1"/>
  <c r="Q143" i="3" l="1"/>
  <c r="H143" i="3"/>
  <c r="I143" i="3" l="1"/>
  <c r="C144" i="3"/>
  <c r="R143" i="3"/>
  <c r="K144" i="3" s="1"/>
  <c r="L144" i="3"/>
  <c r="F144" i="3" l="1"/>
  <c r="O144" i="3" s="1"/>
  <c r="J143" i="3"/>
  <c r="G144" i="3"/>
  <c r="P144" i="3" s="1"/>
  <c r="Q144" i="3" l="1"/>
  <c r="L145" i="3" s="1"/>
  <c r="H144" i="3"/>
  <c r="I144" i="3" l="1"/>
  <c r="C145" i="3"/>
  <c r="R144" i="3"/>
  <c r="K145" i="3" s="1"/>
  <c r="F145" i="3" l="1"/>
  <c r="O145" i="3" s="1"/>
  <c r="J144" i="3"/>
  <c r="G145" i="3"/>
  <c r="P145" i="3" s="1"/>
  <c r="Q145" i="3" l="1"/>
  <c r="H145" i="3"/>
  <c r="I145" i="3" l="1"/>
  <c r="C146" i="3"/>
  <c r="R145" i="3"/>
  <c r="K146" i="3" s="1"/>
  <c r="L146" i="3"/>
  <c r="F146" i="3" l="1"/>
  <c r="O146" i="3" s="1"/>
  <c r="G146" i="3"/>
  <c r="P146" i="3" s="1"/>
  <c r="J145" i="3"/>
  <c r="Q146" i="3" l="1"/>
  <c r="L147" i="3" s="1"/>
  <c r="H146" i="3"/>
  <c r="I146" i="3" l="1"/>
  <c r="C147" i="3"/>
  <c r="R146" i="3"/>
  <c r="K147" i="3" s="1"/>
  <c r="F147" i="3" l="1"/>
  <c r="O147" i="3" s="1"/>
  <c r="J146" i="3"/>
  <c r="G147" i="3"/>
  <c r="P147" i="3" s="1"/>
  <c r="Q147" i="3" l="1"/>
  <c r="H147" i="3"/>
  <c r="I147" i="3" l="1"/>
  <c r="C148" i="3"/>
  <c r="R147" i="3"/>
  <c r="K148" i="3" s="1"/>
  <c r="L148" i="3"/>
  <c r="F148" i="3" l="1"/>
  <c r="O148" i="3" s="1"/>
  <c r="J147" i="3"/>
  <c r="G148" i="3"/>
  <c r="P148" i="3" s="1"/>
  <c r="Q148" i="3" l="1"/>
  <c r="L149" i="3" s="1"/>
  <c r="H148" i="3"/>
  <c r="I148" i="3" l="1"/>
  <c r="C149" i="3"/>
  <c r="R148" i="3"/>
  <c r="K149" i="3" s="1"/>
  <c r="F149" i="3" l="1"/>
  <c r="O149" i="3" s="1"/>
  <c r="G149" i="3"/>
  <c r="P149" i="3" s="1"/>
  <c r="J148" i="3"/>
  <c r="Q149" i="3" l="1"/>
  <c r="H149" i="3"/>
  <c r="I149" i="3" l="1"/>
  <c r="C150" i="3"/>
  <c r="R149" i="3"/>
  <c r="K150" i="3" s="1"/>
  <c r="L150" i="3"/>
  <c r="F150" i="3" l="1"/>
  <c r="O150" i="3" s="1"/>
  <c r="G150" i="3"/>
  <c r="P150" i="3" s="1"/>
  <c r="J149" i="3"/>
  <c r="Q150" i="3" l="1"/>
  <c r="L151" i="3" s="1"/>
  <c r="H150" i="3"/>
  <c r="I150" i="3" l="1"/>
  <c r="C151" i="3"/>
  <c r="R150" i="3"/>
  <c r="K151" i="3" s="1"/>
  <c r="F151" i="3" l="1"/>
  <c r="O151" i="3" s="1"/>
  <c r="G151" i="3"/>
  <c r="P151" i="3" s="1"/>
  <c r="J150" i="3"/>
  <c r="Q151" i="3" l="1"/>
  <c r="H151" i="3"/>
  <c r="I151" i="3" l="1"/>
  <c r="C152" i="3"/>
  <c r="R151" i="3"/>
  <c r="K152" i="3" s="1"/>
  <c r="L152" i="3"/>
  <c r="F152" i="3" l="1"/>
  <c r="O152" i="3" s="1"/>
  <c r="J151" i="3"/>
  <c r="G152" i="3"/>
  <c r="P152" i="3" s="1"/>
  <c r="Q152" i="3" l="1"/>
  <c r="L153" i="3" s="1"/>
  <c r="H152" i="3"/>
  <c r="I152" i="3" l="1"/>
  <c r="C153" i="3"/>
  <c r="R152" i="3"/>
  <c r="K153" i="3" s="1"/>
  <c r="F153" i="3" l="1"/>
  <c r="O153" i="3" s="1"/>
  <c r="J152" i="3"/>
  <c r="G153" i="3"/>
  <c r="P153" i="3" s="1"/>
  <c r="Q153" i="3" l="1"/>
  <c r="H153" i="3"/>
  <c r="I153" i="3" l="1"/>
  <c r="C154" i="3"/>
  <c r="R153" i="3"/>
  <c r="K154" i="3" s="1"/>
  <c r="L154" i="3"/>
  <c r="F154" i="3" l="1"/>
  <c r="O154" i="3" s="1"/>
  <c r="G154" i="3"/>
  <c r="P154" i="3" s="1"/>
  <c r="J153" i="3"/>
  <c r="Q154" i="3" l="1"/>
  <c r="L155" i="3" s="1"/>
  <c r="H154" i="3"/>
  <c r="I154" i="3" l="1"/>
  <c r="C155" i="3"/>
  <c r="R154" i="3"/>
  <c r="K155" i="3" s="1"/>
  <c r="F155" i="3" l="1"/>
  <c r="O155" i="3" s="1"/>
  <c r="J154" i="3"/>
  <c r="G155" i="3"/>
  <c r="P155" i="3" s="1"/>
  <c r="Q155" i="3" l="1"/>
  <c r="H155" i="3"/>
  <c r="I155" i="3" l="1"/>
  <c r="C156" i="3"/>
  <c r="R155" i="3"/>
  <c r="K156" i="3" s="1"/>
  <c r="L156" i="3"/>
  <c r="F156" i="3" l="1"/>
  <c r="O156" i="3" s="1"/>
  <c r="J155" i="3"/>
  <c r="G156" i="3"/>
  <c r="P156" i="3" s="1"/>
  <c r="Q156" i="3" l="1"/>
  <c r="L157" i="3" s="1"/>
  <c r="H156" i="3"/>
  <c r="I156" i="3" l="1"/>
  <c r="C157" i="3"/>
  <c r="R156" i="3"/>
  <c r="K157" i="3" s="1"/>
  <c r="F157" i="3" l="1"/>
  <c r="O157" i="3" s="1"/>
  <c r="J156" i="3"/>
  <c r="G157" i="3"/>
  <c r="P157" i="3" s="1"/>
  <c r="Q157" i="3" l="1"/>
  <c r="H157" i="3"/>
  <c r="I157" i="3" l="1"/>
  <c r="C158" i="3"/>
  <c r="R157" i="3"/>
  <c r="K158" i="3" s="1"/>
  <c r="L158" i="3"/>
  <c r="F158" i="3" l="1"/>
  <c r="O158" i="3" s="1"/>
  <c r="J157" i="3"/>
  <c r="G158" i="3"/>
  <c r="P158" i="3" s="1"/>
  <c r="Q158" i="3" l="1"/>
  <c r="L159" i="3" s="1"/>
  <c r="H158" i="3"/>
  <c r="I158" i="3" l="1"/>
  <c r="C159" i="3"/>
  <c r="R158" i="3"/>
  <c r="K159" i="3" s="1"/>
  <c r="F159" i="3" l="1"/>
  <c r="O159" i="3" s="1"/>
  <c r="J158" i="3"/>
  <c r="G159" i="3"/>
  <c r="P159" i="3" s="1"/>
  <c r="Q159" i="3" l="1"/>
  <c r="H159" i="3"/>
  <c r="I159" i="3" l="1"/>
  <c r="C160" i="3"/>
  <c r="R159" i="3"/>
  <c r="K160" i="3" s="1"/>
  <c r="L160" i="3"/>
  <c r="F160" i="3" l="1"/>
  <c r="O160" i="3" s="1"/>
  <c r="G160" i="3"/>
  <c r="P160" i="3" s="1"/>
  <c r="J159" i="3"/>
  <c r="Q160" i="3" l="1"/>
  <c r="L161" i="3" s="1"/>
  <c r="H160" i="3"/>
  <c r="I160" i="3" l="1"/>
  <c r="C161" i="3"/>
  <c r="R160" i="3"/>
  <c r="K161" i="3" s="1"/>
  <c r="F161" i="3" l="1"/>
  <c r="O161" i="3" s="1"/>
  <c r="J160" i="3"/>
  <c r="G161" i="3"/>
  <c r="P161" i="3" s="1"/>
  <c r="Q161" i="3" l="1"/>
  <c r="H161" i="3"/>
  <c r="I161" i="3" l="1"/>
  <c r="C162" i="3"/>
  <c r="R161" i="3"/>
  <c r="K162" i="3" s="1"/>
  <c r="L162" i="3"/>
  <c r="F162" i="3" l="1"/>
  <c r="O162" i="3" s="1"/>
  <c r="J161" i="3"/>
  <c r="G162" i="3"/>
  <c r="P162" i="3" s="1"/>
  <c r="Q162" i="3" l="1"/>
  <c r="L163" i="3" s="1"/>
  <c r="H162" i="3"/>
  <c r="I162" i="3" l="1"/>
  <c r="C163" i="3"/>
  <c r="R162" i="3"/>
  <c r="K163" i="3" s="1"/>
  <c r="F163" i="3" l="1"/>
  <c r="O163" i="3" s="1"/>
  <c r="J162" i="3"/>
  <c r="G163" i="3"/>
  <c r="P163" i="3" s="1"/>
  <c r="Q163" i="3" l="1"/>
  <c r="H163" i="3"/>
  <c r="I163" i="3" l="1"/>
  <c r="C164" i="3"/>
  <c r="R163" i="3"/>
  <c r="K164" i="3" s="1"/>
  <c r="L164" i="3"/>
  <c r="F164" i="3" l="1"/>
  <c r="O164" i="3" s="1"/>
  <c r="J163" i="3"/>
  <c r="G164" i="3"/>
  <c r="P164" i="3" s="1"/>
  <c r="Q164" i="3" l="1"/>
  <c r="L165" i="3" s="1"/>
  <c r="H164" i="3"/>
  <c r="I164" i="3" l="1"/>
  <c r="C165" i="3"/>
  <c r="R164" i="3"/>
  <c r="K165" i="3" s="1"/>
  <c r="F165" i="3" l="1"/>
  <c r="O165" i="3" s="1"/>
  <c r="J164" i="3"/>
  <c r="G165" i="3"/>
  <c r="P165" i="3" s="1"/>
  <c r="Q165" i="3" l="1"/>
  <c r="H165" i="3"/>
  <c r="I165" i="3" l="1"/>
  <c r="C166" i="3"/>
  <c r="R165" i="3"/>
  <c r="K166" i="3" s="1"/>
  <c r="L166" i="3"/>
  <c r="F166" i="3" l="1"/>
  <c r="O166" i="3" s="1"/>
  <c r="J165" i="3"/>
  <c r="G166" i="3"/>
  <c r="P166" i="3" s="1"/>
  <c r="Q166" i="3" l="1"/>
  <c r="L167" i="3" s="1"/>
  <c r="H166" i="3"/>
  <c r="I166" i="3" l="1"/>
  <c r="C167" i="3"/>
  <c r="R166" i="3"/>
  <c r="K167" i="3" s="1"/>
  <c r="F167" i="3" l="1"/>
  <c r="O167" i="3" s="1"/>
  <c r="J166" i="3"/>
  <c r="G167" i="3"/>
  <c r="P167" i="3" s="1"/>
  <c r="Q167" i="3" l="1"/>
  <c r="H167" i="3"/>
  <c r="I167" i="3" l="1"/>
  <c r="C168" i="3"/>
  <c r="R167" i="3"/>
  <c r="K168" i="3" s="1"/>
  <c r="L168" i="3"/>
  <c r="F168" i="3" l="1"/>
  <c r="O168" i="3" s="1"/>
  <c r="J167" i="3"/>
  <c r="G168" i="3"/>
  <c r="P168" i="3" s="1"/>
  <c r="Q168" i="3" l="1"/>
  <c r="L169" i="3" s="1"/>
  <c r="H168" i="3"/>
  <c r="I168" i="3" l="1"/>
  <c r="C169" i="3"/>
  <c r="R168" i="3"/>
  <c r="K169" i="3" s="1"/>
  <c r="F169" i="3" l="1"/>
  <c r="O169" i="3" s="1"/>
  <c r="J168" i="3"/>
  <c r="G169" i="3"/>
  <c r="P169" i="3" s="1"/>
  <c r="Q169" i="3" l="1"/>
  <c r="H169" i="3"/>
  <c r="I169" i="3" l="1"/>
  <c r="C170" i="3"/>
  <c r="R169" i="3"/>
  <c r="K170" i="3" s="1"/>
  <c r="L170" i="3"/>
  <c r="F170" i="3" l="1"/>
  <c r="O170" i="3" s="1"/>
  <c r="J169" i="3"/>
  <c r="G170" i="3"/>
  <c r="P170" i="3" s="1"/>
  <c r="Q170" i="3" l="1"/>
  <c r="L171" i="3" s="1"/>
  <c r="H170" i="3"/>
  <c r="I170" i="3" l="1"/>
  <c r="C171" i="3"/>
  <c r="R170" i="3"/>
  <c r="K171" i="3" s="1"/>
  <c r="F171" i="3" l="1"/>
  <c r="O171" i="3" s="1"/>
  <c r="G171" i="3"/>
  <c r="P171" i="3" s="1"/>
  <c r="J170" i="3"/>
  <c r="Q171" i="3" l="1"/>
  <c r="H171" i="3"/>
  <c r="I171" i="3" l="1"/>
  <c r="C172" i="3"/>
  <c r="R171" i="3"/>
  <c r="K172" i="3" s="1"/>
  <c r="L172" i="3"/>
  <c r="F172" i="3" l="1"/>
  <c r="O172" i="3" s="1"/>
  <c r="J171" i="3"/>
  <c r="G172" i="3"/>
  <c r="P172" i="3" s="1"/>
  <c r="Q172" i="3" l="1"/>
  <c r="L173" i="3" s="1"/>
  <c r="H172" i="3"/>
  <c r="I172" i="3" l="1"/>
  <c r="C173" i="3"/>
  <c r="R172" i="3"/>
  <c r="K173" i="3" s="1"/>
  <c r="F173" i="3" l="1"/>
  <c r="O173" i="3" s="1"/>
  <c r="J172" i="3"/>
  <c r="G173" i="3"/>
  <c r="P173" i="3" s="1"/>
  <c r="Q173" i="3" l="1"/>
  <c r="H173" i="3"/>
  <c r="I173" i="3" l="1"/>
  <c r="C174" i="3"/>
  <c r="R173" i="3"/>
  <c r="K174" i="3" s="1"/>
  <c r="L174" i="3"/>
  <c r="F174" i="3" l="1"/>
  <c r="O174" i="3" s="1"/>
  <c r="G174" i="3"/>
  <c r="P174" i="3" s="1"/>
  <c r="J173" i="3"/>
  <c r="Q174" i="3" l="1"/>
  <c r="L175" i="3" s="1"/>
  <c r="H174" i="3"/>
  <c r="I174" i="3" l="1"/>
  <c r="C175" i="3"/>
  <c r="R174" i="3"/>
  <c r="K175" i="3" s="1"/>
  <c r="F175" i="3" l="1"/>
  <c r="O175" i="3" s="1"/>
  <c r="J174" i="3"/>
  <c r="G175" i="3"/>
  <c r="P175" i="3" s="1"/>
  <c r="Q175" i="3" l="1"/>
  <c r="H175" i="3"/>
  <c r="I175" i="3" l="1"/>
  <c r="C176" i="3"/>
  <c r="R175" i="3"/>
  <c r="K176" i="3" s="1"/>
  <c r="L176" i="3"/>
  <c r="F176" i="3" l="1"/>
  <c r="O176" i="3" s="1"/>
  <c r="J175" i="3"/>
  <c r="G176" i="3"/>
  <c r="P176" i="3" s="1"/>
  <c r="Q176" i="3" l="1"/>
  <c r="L177" i="3" s="1"/>
  <c r="H176" i="3"/>
  <c r="I176" i="3" l="1"/>
  <c r="C177" i="3"/>
  <c r="R176" i="3"/>
  <c r="K177" i="3" s="1"/>
  <c r="F177" i="3" l="1"/>
  <c r="O177" i="3" s="1"/>
  <c r="J176" i="3"/>
  <c r="G177" i="3"/>
  <c r="P177" i="3" s="1"/>
  <c r="Q177" i="3" l="1"/>
  <c r="H177" i="3"/>
  <c r="I177" i="3" l="1"/>
  <c r="C178" i="3"/>
  <c r="R177" i="3"/>
  <c r="K178" i="3" s="1"/>
  <c r="L178" i="3"/>
  <c r="F178" i="3" l="1"/>
  <c r="O178" i="3" s="1"/>
  <c r="J177" i="3"/>
  <c r="G178" i="3"/>
  <c r="P178" i="3" s="1"/>
  <c r="Q178" i="3" l="1"/>
  <c r="L179" i="3" s="1"/>
  <c r="H178" i="3"/>
  <c r="I178" i="3" l="1"/>
  <c r="C179" i="3"/>
  <c r="R178" i="3"/>
  <c r="K179" i="3" s="1"/>
  <c r="F179" i="3" l="1"/>
  <c r="O179" i="3" s="1"/>
  <c r="J178" i="3"/>
  <c r="G179" i="3"/>
  <c r="P179" i="3" s="1"/>
  <c r="Q179" i="3" l="1"/>
  <c r="H179" i="3"/>
  <c r="I179" i="3" l="1"/>
  <c r="C180" i="3"/>
  <c r="R179" i="3"/>
  <c r="K180" i="3" s="1"/>
  <c r="L180" i="3"/>
  <c r="F180" i="3" l="1"/>
  <c r="O180" i="3" s="1"/>
  <c r="J179" i="3"/>
  <c r="G180" i="3"/>
  <c r="P180" i="3" s="1"/>
  <c r="Q180" i="3" l="1"/>
  <c r="L181" i="3" s="1"/>
  <c r="H180" i="3"/>
  <c r="I180" i="3" l="1"/>
  <c r="C181" i="3"/>
  <c r="R180" i="3"/>
  <c r="K181" i="3" s="1"/>
  <c r="F181" i="3" l="1"/>
  <c r="O181" i="3" s="1"/>
  <c r="J180" i="3"/>
  <c r="G181" i="3"/>
  <c r="P181" i="3" s="1"/>
  <c r="Q181" i="3" l="1"/>
  <c r="H181" i="3"/>
  <c r="I181" i="3" l="1"/>
  <c r="C182" i="3"/>
  <c r="R181" i="3"/>
  <c r="K182" i="3" s="1"/>
  <c r="L182" i="3"/>
  <c r="F182" i="3" l="1"/>
  <c r="O182" i="3" s="1"/>
  <c r="J181" i="3"/>
  <c r="G182" i="3"/>
  <c r="P182" i="3" s="1"/>
  <c r="Q182" i="3" l="1"/>
  <c r="L183" i="3" s="1"/>
  <c r="H182" i="3"/>
  <c r="I182" i="3" l="1"/>
  <c r="C183" i="3"/>
  <c r="R182" i="3"/>
  <c r="K183" i="3" s="1"/>
  <c r="F183" i="3" l="1"/>
  <c r="O183" i="3" s="1"/>
  <c r="J182" i="3"/>
  <c r="G183" i="3"/>
  <c r="P183" i="3" s="1"/>
  <c r="Q183" i="3" l="1"/>
  <c r="H183" i="3"/>
  <c r="I183" i="3" l="1"/>
  <c r="C184" i="3"/>
  <c r="R183" i="3"/>
  <c r="K184" i="3" s="1"/>
  <c r="L184" i="3"/>
  <c r="F184" i="3" l="1"/>
  <c r="O184" i="3" s="1"/>
  <c r="J183" i="3"/>
  <c r="G184" i="3"/>
  <c r="P184" i="3" s="1"/>
  <c r="Q184" i="3" l="1"/>
  <c r="L185" i="3" s="1"/>
  <c r="H184" i="3"/>
  <c r="I184" i="3" l="1"/>
  <c r="C185" i="3"/>
  <c r="R184" i="3"/>
  <c r="K185" i="3" s="1"/>
  <c r="F185" i="3" l="1"/>
  <c r="O185" i="3" s="1"/>
  <c r="J184" i="3"/>
  <c r="G185" i="3"/>
  <c r="P185" i="3" s="1"/>
  <c r="Q185" i="3" l="1"/>
  <c r="L186" i="3" s="1"/>
  <c r="H185" i="3"/>
  <c r="I185" i="3" l="1"/>
  <c r="C186" i="3"/>
  <c r="R185" i="3"/>
  <c r="K186" i="3" s="1"/>
  <c r="F186" i="3" l="1"/>
  <c r="O186" i="3" s="1"/>
  <c r="J185" i="3"/>
  <c r="G186" i="3"/>
  <c r="P186" i="3" s="1"/>
  <c r="Q186" i="3" l="1"/>
  <c r="H186" i="3"/>
  <c r="I186" i="3" l="1"/>
  <c r="C187" i="3"/>
  <c r="R186" i="3"/>
  <c r="K187" i="3" s="1"/>
  <c r="L187" i="3"/>
  <c r="F187" i="3" l="1"/>
  <c r="O187" i="3" s="1"/>
  <c r="J186" i="3"/>
  <c r="G187" i="3"/>
  <c r="P187" i="3" s="1"/>
  <c r="Q187" i="3" l="1"/>
  <c r="L188" i="3" s="1"/>
  <c r="H187" i="3"/>
  <c r="I187" i="3" l="1"/>
  <c r="C188" i="3"/>
  <c r="R187" i="3"/>
  <c r="K188" i="3" s="1"/>
  <c r="F188" i="3" l="1"/>
  <c r="O188" i="3" s="1"/>
  <c r="G188" i="3"/>
  <c r="P188" i="3" s="1"/>
  <c r="J187" i="3"/>
  <c r="Q188" i="3" l="1"/>
  <c r="H188" i="3"/>
  <c r="I188" i="3" l="1"/>
  <c r="C189" i="3"/>
  <c r="R188" i="3"/>
  <c r="K189" i="3" s="1"/>
  <c r="L189" i="3"/>
  <c r="F189" i="3" l="1"/>
  <c r="O189" i="3" s="1"/>
  <c r="J188" i="3"/>
  <c r="G189" i="3"/>
  <c r="P189" i="3" s="1"/>
  <c r="Q189" i="3" l="1"/>
  <c r="L190" i="3" s="1"/>
  <c r="H189" i="3"/>
  <c r="I189" i="3" l="1"/>
  <c r="C190" i="3"/>
  <c r="R189" i="3"/>
  <c r="K190" i="3" s="1"/>
  <c r="F190" i="3" l="1"/>
  <c r="O190" i="3" s="1"/>
  <c r="J189" i="3"/>
  <c r="G190" i="3"/>
  <c r="P190" i="3" s="1"/>
  <c r="Q190" i="3" l="1"/>
  <c r="H190" i="3"/>
  <c r="I190" i="3" l="1"/>
  <c r="C191" i="3"/>
  <c r="R190" i="3"/>
  <c r="K191" i="3" s="1"/>
  <c r="L191" i="3"/>
  <c r="F191" i="3" l="1"/>
  <c r="O191" i="3" s="1"/>
  <c r="J190" i="3"/>
  <c r="G191" i="3"/>
  <c r="P191" i="3" s="1"/>
  <c r="Q191" i="3" l="1"/>
  <c r="L192" i="3" s="1"/>
  <c r="H191" i="3"/>
  <c r="I191" i="3" l="1"/>
  <c r="C192" i="3"/>
  <c r="R191" i="3"/>
  <c r="K192" i="3" s="1"/>
  <c r="F192" i="3" l="1"/>
  <c r="O192" i="3" s="1"/>
  <c r="J191" i="3"/>
  <c r="G192" i="3"/>
  <c r="P192" i="3" s="1"/>
  <c r="Q192" i="3" l="1"/>
  <c r="H192" i="3"/>
  <c r="I192" i="3" l="1"/>
  <c r="C193" i="3"/>
  <c r="R192" i="3"/>
  <c r="K193" i="3" s="1"/>
  <c r="L193" i="3"/>
  <c r="F193" i="3" l="1"/>
  <c r="O193" i="3" s="1"/>
  <c r="J192" i="3"/>
  <c r="G193" i="3"/>
  <c r="P193" i="3" s="1"/>
  <c r="Q193" i="3" l="1"/>
  <c r="L194" i="3" s="1"/>
  <c r="H193" i="3"/>
  <c r="I193" i="3" l="1"/>
  <c r="C194" i="3"/>
  <c r="R193" i="3"/>
  <c r="K194" i="3" s="1"/>
  <c r="F194" i="3" l="1"/>
  <c r="O194" i="3" s="1"/>
  <c r="J193" i="3"/>
  <c r="G194" i="3"/>
  <c r="P194" i="3" s="1"/>
  <c r="Q194" i="3" l="1"/>
  <c r="H194" i="3"/>
  <c r="I194" i="3" l="1"/>
  <c r="C195" i="3"/>
  <c r="R194" i="3"/>
  <c r="K195" i="3" s="1"/>
  <c r="L195" i="3"/>
  <c r="F195" i="3" l="1"/>
  <c r="O195" i="3" s="1"/>
  <c r="J194" i="3"/>
  <c r="G195" i="3"/>
  <c r="P195" i="3" s="1"/>
  <c r="Q195" i="3" l="1"/>
  <c r="L196" i="3" s="1"/>
  <c r="H195" i="3"/>
  <c r="I195" i="3" l="1"/>
  <c r="C196" i="3"/>
  <c r="R195" i="3"/>
  <c r="K196" i="3" s="1"/>
  <c r="F196" i="3" l="1"/>
  <c r="O196" i="3" s="1"/>
  <c r="J195" i="3"/>
  <c r="G196" i="3"/>
  <c r="P196" i="3" s="1"/>
  <c r="Q196" i="3" l="1"/>
  <c r="H196" i="3"/>
  <c r="I196" i="3" l="1"/>
  <c r="C197" i="3"/>
  <c r="R196" i="3"/>
  <c r="K197" i="3" s="1"/>
  <c r="L197" i="3"/>
  <c r="F197" i="3" l="1"/>
  <c r="O197" i="3" s="1"/>
  <c r="J196" i="3"/>
  <c r="G197" i="3"/>
  <c r="P197" i="3" s="1"/>
  <c r="Q197" i="3" l="1"/>
  <c r="L198" i="3" s="1"/>
  <c r="H197" i="3"/>
  <c r="I197" i="3" l="1"/>
  <c r="C198" i="3"/>
  <c r="R197" i="3"/>
  <c r="K198" i="3" s="1"/>
  <c r="F198" i="3" l="1"/>
  <c r="O198" i="3" s="1"/>
  <c r="J197" i="3"/>
  <c r="G198" i="3"/>
  <c r="P198" i="3" s="1"/>
  <c r="Q198" i="3" l="1"/>
  <c r="H198" i="3"/>
  <c r="I198" i="3" l="1"/>
  <c r="C199" i="3"/>
  <c r="R198" i="3"/>
  <c r="K199" i="3" s="1"/>
  <c r="L199" i="3"/>
  <c r="F199" i="3" l="1"/>
  <c r="O199" i="3" s="1"/>
  <c r="J198" i="3"/>
  <c r="G199" i="3"/>
  <c r="P199" i="3" s="1"/>
  <c r="Q199" i="3" l="1"/>
  <c r="L200" i="3" s="1"/>
  <c r="H199" i="3"/>
  <c r="I199" i="3" l="1"/>
  <c r="C200" i="3"/>
  <c r="R199" i="3"/>
  <c r="K200" i="3" s="1"/>
  <c r="F200" i="3" l="1"/>
  <c r="O200" i="3" s="1"/>
  <c r="J199" i="3"/>
  <c r="G200" i="3"/>
  <c r="P200" i="3" s="1"/>
  <c r="Q200" i="3" l="1"/>
  <c r="H200" i="3"/>
  <c r="I200" i="3" l="1"/>
  <c r="C201" i="3"/>
  <c r="R200" i="3"/>
  <c r="K201" i="3" s="1"/>
  <c r="L201" i="3"/>
  <c r="F201" i="3" l="1"/>
  <c r="O201" i="3" s="1"/>
  <c r="J200" i="3"/>
  <c r="G201" i="3"/>
  <c r="P201" i="3" s="1"/>
  <c r="Q201" i="3" l="1"/>
  <c r="L202" i="3" s="1"/>
  <c r="H201" i="3"/>
  <c r="I201" i="3" l="1"/>
  <c r="C202" i="3"/>
  <c r="R201" i="3"/>
  <c r="K202" i="3" s="1"/>
  <c r="F202" i="3" l="1"/>
  <c r="O202" i="3" s="1"/>
  <c r="J201" i="3"/>
  <c r="G202" i="3"/>
  <c r="P202" i="3" s="1"/>
  <c r="Q202" i="3" l="1"/>
  <c r="H202" i="3"/>
  <c r="I202" i="3" l="1"/>
  <c r="C203" i="3"/>
  <c r="R202" i="3"/>
  <c r="K203" i="3" s="1"/>
  <c r="L203" i="3"/>
  <c r="F203" i="3" l="1"/>
  <c r="O203" i="3" s="1"/>
  <c r="J202" i="3"/>
  <c r="G203" i="3"/>
  <c r="P203" i="3" s="1"/>
  <c r="Q203" i="3" l="1"/>
  <c r="L204" i="3" s="1"/>
  <c r="H203" i="3"/>
  <c r="I203" i="3" l="1"/>
  <c r="C204" i="3"/>
  <c r="R203" i="3"/>
  <c r="K204" i="3" s="1"/>
  <c r="F204" i="3" l="1"/>
  <c r="O204" i="3" s="1"/>
  <c r="J203" i="3"/>
  <c r="G204" i="3"/>
  <c r="P204" i="3" s="1"/>
  <c r="Q204" i="3" l="1"/>
  <c r="H204" i="3"/>
  <c r="I204" i="3" l="1"/>
  <c r="C205" i="3"/>
  <c r="R204" i="3"/>
  <c r="K205" i="3" s="1"/>
  <c r="L205" i="3"/>
  <c r="F205" i="3" l="1"/>
  <c r="O205" i="3" s="1"/>
  <c r="J204" i="3"/>
  <c r="G205" i="3"/>
  <c r="P205" i="3" s="1"/>
  <c r="Q205" i="3" l="1"/>
  <c r="L206" i="3" s="1"/>
  <c r="H205" i="3"/>
  <c r="I205" i="3" l="1"/>
  <c r="C206" i="3"/>
  <c r="R205" i="3"/>
  <c r="K206" i="3" s="1"/>
  <c r="F206" i="3" l="1"/>
  <c r="O206" i="3" s="1"/>
  <c r="J205" i="3"/>
  <c r="G206" i="3"/>
  <c r="P206" i="3" s="1"/>
  <c r="Q206" i="3" l="1"/>
  <c r="H206" i="3"/>
  <c r="I206" i="3" l="1"/>
  <c r="C207" i="3"/>
  <c r="R206" i="3"/>
  <c r="K207" i="3" s="1"/>
  <c r="L207" i="3"/>
  <c r="F207" i="3" l="1"/>
  <c r="O207" i="3" s="1"/>
  <c r="G207" i="3"/>
  <c r="P207" i="3" s="1"/>
  <c r="J206" i="3"/>
  <c r="Q207" i="3" l="1"/>
  <c r="L208" i="3" s="1"/>
  <c r="H207" i="3"/>
  <c r="I207" i="3" l="1"/>
  <c r="C208" i="3"/>
  <c r="R207" i="3"/>
  <c r="K208" i="3" s="1"/>
  <c r="F208" i="3" l="1"/>
  <c r="O208" i="3" s="1"/>
  <c r="G208" i="3"/>
  <c r="P208" i="3" s="1"/>
  <c r="J207" i="3"/>
  <c r="Q208" i="3" l="1"/>
  <c r="H208" i="3"/>
  <c r="I208" i="3" l="1"/>
  <c r="C209" i="3"/>
  <c r="R208" i="3"/>
  <c r="K209" i="3" s="1"/>
  <c r="L209" i="3"/>
  <c r="F209" i="3" l="1"/>
  <c r="O209" i="3" s="1"/>
  <c r="G209" i="3"/>
  <c r="P209" i="3" s="1"/>
  <c r="J208" i="3"/>
  <c r="Q209" i="3" l="1"/>
  <c r="L210" i="3" s="1"/>
  <c r="H209" i="3"/>
  <c r="I209" i="3" l="1"/>
  <c r="C210" i="3"/>
  <c r="R209" i="3"/>
  <c r="K210" i="3" s="1"/>
  <c r="F210" i="3" l="1"/>
  <c r="O210" i="3" s="1"/>
  <c r="J209" i="3"/>
  <c r="G210" i="3"/>
  <c r="P210" i="3" s="1"/>
  <c r="Q210" i="3" l="1"/>
  <c r="L211" i="3" s="1"/>
  <c r="H210" i="3"/>
  <c r="I210" i="3" l="1"/>
  <c r="C211" i="3"/>
  <c r="R210" i="3"/>
  <c r="K211" i="3" s="1"/>
  <c r="F211" i="3" l="1"/>
  <c r="O211" i="3" s="1"/>
  <c r="J210" i="3"/>
  <c r="G211" i="3"/>
  <c r="P211" i="3" s="1"/>
  <c r="Q211" i="3" l="1"/>
  <c r="H211" i="3"/>
  <c r="I211" i="3" l="1"/>
  <c r="C212" i="3"/>
  <c r="R211" i="3"/>
  <c r="K212" i="3" s="1"/>
  <c r="L212" i="3"/>
  <c r="F212" i="3" l="1"/>
  <c r="O212" i="3" s="1"/>
  <c r="J211" i="3"/>
  <c r="G212" i="3"/>
  <c r="P212" i="3" s="1"/>
  <c r="Q212" i="3" l="1"/>
  <c r="L213" i="3" s="1"/>
  <c r="H212" i="3"/>
  <c r="I212" i="3" l="1"/>
  <c r="C213" i="3"/>
  <c r="R212" i="3"/>
  <c r="K213" i="3" s="1"/>
  <c r="F213" i="3" l="1"/>
  <c r="O213" i="3" s="1"/>
  <c r="G213" i="3"/>
  <c r="P213" i="3" s="1"/>
  <c r="J212" i="3"/>
  <c r="Q213" i="3" l="1"/>
  <c r="H213" i="3"/>
  <c r="I213" i="3" l="1"/>
  <c r="C214" i="3"/>
  <c r="R213" i="3"/>
  <c r="K214" i="3" s="1"/>
  <c r="L214" i="3"/>
  <c r="F214" i="3" l="1"/>
  <c r="O214" i="3" s="1"/>
  <c r="J213" i="3"/>
  <c r="G214" i="3"/>
  <c r="P214" i="3" s="1"/>
  <c r="Q214" i="3" l="1"/>
  <c r="L215" i="3" s="1"/>
  <c r="H214" i="3"/>
  <c r="I214" i="3" l="1"/>
  <c r="C215" i="3"/>
  <c r="R214" i="3"/>
  <c r="K215" i="3" s="1"/>
  <c r="F215" i="3" l="1"/>
  <c r="O215" i="3" s="1"/>
  <c r="J214" i="3"/>
  <c r="G215" i="3"/>
  <c r="P215" i="3" s="1"/>
  <c r="Q215" i="3" l="1"/>
  <c r="H215" i="3"/>
  <c r="I215" i="3" l="1"/>
  <c r="C216" i="3"/>
  <c r="R215" i="3"/>
  <c r="K216" i="3" s="1"/>
  <c r="L216" i="3"/>
  <c r="F216" i="3" l="1"/>
  <c r="O216" i="3" s="1"/>
  <c r="J215" i="3"/>
  <c r="G216" i="3"/>
  <c r="P216" i="3" s="1"/>
  <c r="Q216" i="3" l="1"/>
  <c r="L217" i="3" s="1"/>
  <c r="H216" i="3"/>
  <c r="I216" i="3" l="1"/>
  <c r="C217" i="3"/>
  <c r="R216" i="3"/>
  <c r="K217" i="3" s="1"/>
  <c r="F217" i="3" l="1"/>
  <c r="O217" i="3" s="1"/>
  <c r="J216" i="3"/>
  <c r="G217" i="3"/>
  <c r="P217" i="3" s="1"/>
  <c r="Q217" i="3" l="1"/>
  <c r="H217" i="3"/>
  <c r="I217" i="3" l="1"/>
  <c r="C218" i="3"/>
  <c r="R217" i="3"/>
  <c r="K218" i="3" s="1"/>
  <c r="L218" i="3"/>
  <c r="F218" i="3" l="1"/>
  <c r="O218" i="3" s="1"/>
  <c r="J217" i="3"/>
  <c r="G218" i="3"/>
  <c r="P218" i="3" s="1"/>
  <c r="Q218" i="3" l="1"/>
  <c r="L219" i="3" s="1"/>
  <c r="H218" i="3"/>
  <c r="I218" i="3" l="1"/>
  <c r="C219" i="3"/>
  <c r="R218" i="3"/>
  <c r="K219" i="3" s="1"/>
  <c r="F219" i="3" l="1"/>
  <c r="O219" i="3" s="1"/>
  <c r="J218" i="3"/>
  <c r="G219" i="3"/>
  <c r="P219" i="3" s="1"/>
  <c r="Q219" i="3" l="1"/>
  <c r="H219" i="3"/>
  <c r="I219" i="3" l="1"/>
  <c r="C220" i="3"/>
  <c r="R219" i="3"/>
  <c r="K220" i="3" s="1"/>
  <c r="L220" i="3"/>
  <c r="F220" i="3" l="1"/>
  <c r="O220" i="3" s="1"/>
  <c r="G220" i="3"/>
  <c r="P220" i="3" s="1"/>
  <c r="J219" i="3"/>
  <c r="Q220" i="3" l="1"/>
  <c r="L221" i="3" s="1"/>
  <c r="H220" i="3"/>
  <c r="I220" i="3" l="1"/>
  <c r="C221" i="3"/>
  <c r="R220" i="3"/>
  <c r="K221" i="3" s="1"/>
  <c r="F221" i="3" l="1"/>
  <c r="O221" i="3" s="1"/>
  <c r="G221" i="3"/>
  <c r="P221" i="3" s="1"/>
  <c r="J220" i="3"/>
  <c r="Q221" i="3" l="1"/>
  <c r="H221" i="3"/>
  <c r="I221" i="3" l="1"/>
  <c r="C222" i="3"/>
  <c r="R221" i="3"/>
  <c r="K222" i="3" s="1"/>
  <c r="L222" i="3"/>
  <c r="F222" i="3" l="1"/>
  <c r="O222" i="3" s="1"/>
  <c r="J221" i="3"/>
  <c r="G222" i="3"/>
  <c r="P222" i="3" s="1"/>
  <c r="Q222" i="3" l="1"/>
  <c r="L223" i="3" s="1"/>
  <c r="H222" i="3"/>
  <c r="I222" i="3" l="1"/>
  <c r="C223" i="3"/>
  <c r="R222" i="3"/>
  <c r="K223" i="3" s="1"/>
  <c r="F223" i="3" l="1"/>
  <c r="O223" i="3" s="1"/>
  <c r="J222" i="3"/>
  <c r="G223" i="3"/>
  <c r="P223" i="3" s="1"/>
  <c r="Q223" i="3" l="1"/>
  <c r="H223" i="3"/>
  <c r="I223" i="3" l="1"/>
  <c r="C224" i="3"/>
  <c r="R223" i="3"/>
  <c r="K224" i="3" s="1"/>
  <c r="L224" i="3"/>
  <c r="F224" i="3" l="1"/>
  <c r="O224" i="3" s="1"/>
  <c r="J223" i="3"/>
  <c r="G224" i="3"/>
  <c r="P224" i="3" s="1"/>
  <c r="Q224" i="3" l="1"/>
  <c r="L225" i="3" s="1"/>
  <c r="H224" i="3"/>
  <c r="I224" i="3" l="1"/>
  <c r="C225" i="3"/>
  <c r="R224" i="3"/>
  <c r="K225" i="3" s="1"/>
  <c r="F225" i="3" l="1"/>
  <c r="O225" i="3" s="1"/>
  <c r="J224" i="3"/>
  <c r="G225" i="3"/>
  <c r="P225" i="3" s="1"/>
  <c r="Q225" i="3" l="1"/>
  <c r="H225" i="3"/>
  <c r="I225" i="3" l="1"/>
  <c r="C226" i="3"/>
  <c r="R225" i="3"/>
  <c r="K226" i="3" s="1"/>
  <c r="L226" i="3"/>
  <c r="F226" i="3" l="1"/>
  <c r="O226" i="3" s="1"/>
  <c r="J225" i="3"/>
  <c r="G226" i="3"/>
  <c r="P226" i="3" s="1"/>
  <c r="Q226" i="3" l="1"/>
  <c r="L227" i="3" s="1"/>
  <c r="H226" i="3"/>
  <c r="I226" i="3" l="1"/>
  <c r="C227" i="3"/>
  <c r="R226" i="3"/>
  <c r="K227" i="3" s="1"/>
  <c r="F227" i="3" l="1"/>
  <c r="O227" i="3" s="1"/>
  <c r="J226" i="3"/>
  <c r="G227" i="3"/>
  <c r="P227" i="3" s="1"/>
  <c r="Q227" i="3" l="1"/>
  <c r="H227" i="3"/>
  <c r="I227" i="3" l="1"/>
  <c r="C228" i="3"/>
  <c r="R227" i="3"/>
  <c r="K228" i="3" s="1"/>
  <c r="L228" i="3"/>
  <c r="F228" i="3" l="1"/>
  <c r="O228" i="3" s="1"/>
  <c r="J227" i="3"/>
  <c r="G228" i="3"/>
  <c r="P228" i="3" s="1"/>
  <c r="Q228" i="3" l="1"/>
  <c r="L229" i="3" s="1"/>
  <c r="H228" i="3"/>
  <c r="I228" i="3" l="1"/>
  <c r="C229" i="3"/>
  <c r="R228" i="3"/>
  <c r="K229" i="3" s="1"/>
  <c r="F229" i="3" l="1"/>
  <c r="O229" i="3" s="1"/>
  <c r="J228" i="3"/>
  <c r="G229" i="3"/>
  <c r="P229" i="3" s="1"/>
  <c r="Q229" i="3" l="1"/>
  <c r="H229" i="3"/>
  <c r="I229" i="3" l="1"/>
  <c r="C230" i="3"/>
  <c r="R229" i="3"/>
  <c r="K230" i="3" s="1"/>
  <c r="L230" i="3"/>
  <c r="F230" i="3" l="1"/>
  <c r="O230" i="3" s="1"/>
  <c r="J229" i="3"/>
  <c r="G230" i="3"/>
  <c r="P230" i="3" s="1"/>
  <c r="Q230" i="3" l="1"/>
  <c r="L231" i="3" s="1"/>
  <c r="H230" i="3"/>
  <c r="I230" i="3" l="1"/>
  <c r="C231" i="3"/>
  <c r="R230" i="3"/>
  <c r="K231" i="3" s="1"/>
  <c r="F231" i="3" l="1"/>
  <c r="O231" i="3" s="1"/>
  <c r="J230" i="3"/>
  <c r="G231" i="3"/>
  <c r="P231" i="3" s="1"/>
  <c r="Q231" i="3" l="1"/>
  <c r="H231" i="3"/>
  <c r="I231" i="3" l="1"/>
  <c r="C232" i="3"/>
  <c r="R231" i="3"/>
  <c r="K232" i="3" s="1"/>
  <c r="L232" i="3"/>
  <c r="F232" i="3" l="1"/>
  <c r="O232" i="3" s="1"/>
  <c r="J231" i="3"/>
  <c r="G232" i="3"/>
  <c r="P232" i="3" s="1"/>
  <c r="Q232" i="3" l="1"/>
  <c r="L233" i="3" s="1"/>
  <c r="H232" i="3"/>
  <c r="I232" i="3" l="1"/>
  <c r="C233" i="3"/>
  <c r="R232" i="3"/>
  <c r="K233" i="3" s="1"/>
  <c r="F233" i="3" l="1"/>
  <c r="O233" i="3" s="1"/>
  <c r="J232" i="3"/>
  <c r="G233" i="3"/>
  <c r="P233" i="3" s="1"/>
  <c r="Q233" i="3" l="1"/>
  <c r="H233" i="3"/>
  <c r="I233" i="3" l="1"/>
  <c r="C234" i="3"/>
  <c r="R233" i="3"/>
  <c r="K234" i="3" s="1"/>
  <c r="L234" i="3"/>
  <c r="F234" i="3" l="1"/>
  <c r="O234" i="3" s="1"/>
  <c r="J233" i="3"/>
  <c r="G234" i="3"/>
  <c r="P234" i="3" s="1"/>
  <c r="Q234" i="3" l="1"/>
  <c r="L235" i="3" s="1"/>
  <c r="H234" i="3"/>
  <c r="I234" i="3" l="1"/>
  <c r="C235" i="3"/>
  <c r="R234" i="3"/>
  <c r="K235" i="3" s="1"/>
  <c r="F235" i="3" l="1"/>
  <c r="O235" i="3" s="1"/>
  <c r="J234" i="3"/>
  <c r="G235" i="3"/>
  <c r="P235" i="3" s="1"/>
  <c r="Q235" i="3" l="1"/>
  <c r="H235" i="3"/>
  <c r="I235" i="3" l="1"/>
  <c r="C236" i="3"/>
  <c r="R235" i="3"/>
  <c r="K236" i="3" s="1"/>
  <c r="L236" i="3"/>
  <c r="F236" i="3" l="1"/>
  <c r="O236" i="3" s="1"/>
  <c r="J235" i="3"/>
  <c r="G236" i="3"/>
  <c r="P236" i="3" s="1"/>
  <c r="Q236" i="3" l="1"/>
  <c r="L237" i="3" s="1"/>
  <c r="H236" i="3"/>
  <c r="I236" i="3" l="1"/>
  <c r="C237" i="3"/>
  <c r="R236" i="3"/>
  <c r="K237" i="3" s="1"/>
  <c r="F237" i="3" l="1"/>
  <c r="O237" i="3" s="1"/>
  <c r="J236" i="3"/>
  <c r="G237" i="3"/>
  <c r="P237" i="3" s="1"/>
  <c r="Q237" i="3" l="1"/>
  <c r="H237" i="3"/>
  <c r="I237" i="3" l="1"/>
  <c r="C238" i="3"/>
  <c r="R237" i="3"/>
  <c r="K238" i="3" s="1"/>
  <c r="L238" i="3"/>
  <c r="F238" i="3" l="1"/>
  <c r="O238" i="3" s="1"/>
  <c r="J237" i="3"/>
  <c r="G238" i="3"/>
  <c r="P238" i="3" s="1"/>
  <c r="Q238" i="3" l="1"/>
  <c r="L239" i="3" s="1"/>
  <c r="H238" i="3"/>
  <c r="I238" i="3" l="1"/>
  <c r="C239" i="3"/>
  <c r="R238" i="3"/>
  <c r="K239" i="3" s="1"/>
  <c r="F239" i="3" l="1"/>
  <c r="O239" i="3" s="1"/>
  <c r="J238" i="3"/>
  <c r="G239" i="3"/>
  <c r="P239" i="3" s="1"/>
  <c r="Q239" i="3" l="1"/>
  <c r="H239" i="3"/>
  <c r="I239" i="3" l="1"/>
  <c r="C240" i="3"/>
  <c r="R239" i="3"/>
  <c r="K240" i="3" s="1"/>
  <c r="L240" i="3"/>
  <c r="F240" i="3" l="1"/>
  <c r="O240" i="3" s="1"/>
  <c r="J239" i="3"/>
  <c r="G240" i="3"/>
  <c r="P240" i="3" s="1"/>
  <c r="Q240" i="3" l="1"/>
  <c r="L241" i="3" s="1"/>
  <c r="H240" i="3"/>
  <c r="I240" i="3" l="1"/>
  <c r="C241" i="3"/>
  <c r="R240" i="3"/>
  <c r="K241" i="3" s="1"/>
  <c r="F241" i="3" l="1"/>
  <c r="O241" i="3" s="1"/>
  <c r="G241" i="3"/>
  <c r="P241" i="3" s="1"/>
  <c r="J240" i="3"/>
  <c r="Q241" i="3" l="1"/>
  <c r="H241" i="3"/>
  <c r="I241" i="3" l="1"/>
  <c r="C242" i="3"/>
  <c r="R241" i="3"/>
  <c r="K242" i="3" s="1"/>
  <c r="L242" i="3"/>
  <c r="F242" i="3" l="1"/>
  <c r="O242" i="3" s="1"/>
  <c r="J241" i="3"/>
  <c r="G242" i="3"/>
  <c r="P242" i="3" s="1"/>
  <c r="Q242" i="3" l="1"/>
  <c r="L243" i="3" s="1"/>
  <c r="H242" i="3"/>
  <c r="I242" i="3" l="1"/>
  <c r="C243" i="3"/>
  <c r="R242" i="3"/>
  <c r="K243" i="3" s="1"/>
  <c r="F243" i="3" l="1"/>
  <c r="O243" i="3" s="1"/>
  <c r="J242" i="3"/>
  <c r="G243" i="3"/>
  <c r="P243" i="3" s="1"/>
  <c r="Q243" i="3" l="1"/>
  <c r="H243" i="3"/>
  <c r="I243" i="3" l="1"/>
  <c r="C244" i="3"/>
  <c r="R243" i="3"/>
  <c r="K244" i="3" s="1"/>
  <c r="L244" i="3"/>
  <c r="F244" i="3" l="1"/>
  <c r="O244" i="3" s="1"/>
  <c r="J243" i="3"/>
  <c r="G244" i="3"/>
  <c r="P244" i="3" s="1"/>
  <c r="Q244" i="3" l="1"/>
  <c r="L245" i="3" s="1"/>
  <c r="H244" i="3"/>
  <c r="I244" i="3" l="1"/>
  <c r="C245" i="3"/>
  <c r="R244" i="3"/>
  <c r="K245" i="3" s="1"/>
  <c r="F245" i="3" l="1"/>
  <c r="O245" i="3" s="1"/>
  <c r="J244" i="3"/>
  <c r="G245" i="3"/>
  <c r="P245" i="3" s="1"/>
  <c r="Q245" i="3" l="1"/>
  <c r="H245" i="3"/>
  <c r="I245" i="3" l="1"/>
  <c r="C246" i="3"/>
  <c r="R245" i="3"/>
  <c r="K246" i="3" s="1"/>
  <c r="L246" i="3"/>
  <c r="F246" i="3" l="1"/>
  <c r="O246" i="3" s="1"/>
  <c r="J245" i="3"/>
  <c r="G246" i="3"/>
  <c r="P246" i="3" s="1"/>
  <c r="Q246" i="3" l="1"/>
  <c r="L247" i="3" s="1"/>
  <c r="H246" i="3"/>
  <c r="I246" i="3" l="1"/>
  <c r="C247" i="3"/>
  <c r="R246" i="3"/>
  <c r="K247" i="3" s="1"/>
  <c r="F247" i="3" l="1"/>
  <c r="O247" i="3" s="1"/>
  <c r="J246" i="3"/>
  <c r="G247" i="3"/>
  <c r="P247" i="3" s="1"/>
  <c r="Q247" i="3" l="1"/>
  <c r="H247" i="3"/>
  <c r="I247" i="3" l="1"/>
  <c r="C248" i="3"/>
  <c r="R247" i="3"/>
  <c r="K248" i="3" s="1"/>
  <c r="L248" i="3"/>
  <c r="F248" i="3" l="1"/>
  <c r="O248" i="3" s="1"/>
  <c r="J247" i="3"/>
  <c r="G248" i="3"/>
  <c r="P248" i="3" s="1"/>
  <c r="Q248" i="3" l="1"/>
  <c r="L249" i="3" s="1"/>
  <c r="H248" i="3"/>
  <c r="I248" i="3" l="1"/>
  <c r="C249" i="3"/>
  <c r="R248" i="3"/>
  <c r="K249" i="3" s="1"/>
  <c r="F249" i="3" l="1"/>
  <c r="O249" i="3" s="1"/>
  <c r="J248" i="3"/>
  <c r="G249" i="3"/>
  <c r="P249" i="3" s="1"/>
  <c r="Q249" i="3" l="1"/>
  <c r="H249" i="3"/>
  <c r="I249" i="3" l="1"/>
  <c r="C250" i="3"/>
  <c r="R249" i="3"/>
  <c r="K250" i="3" s="1"/>
  <c r="L250" i="3"/>
  <c r="F250" i="3" l="1"/>
  <c r="O250" i="3" s="1"/>
  <c r="J249" i="3"/>
  <c r="G250" i="3"/>
  <c r="P250" i="3" s="1"/>
  <c r="Q250" i="3" l="1"/>
  <c r="L251" i="3" s="1"/>
  <c r="H250" i="3"/>
  <c r="I250" i="3" l="1"/>
  <c r="C251" i="3"/>
  <c r="R250" i="3"/>
  <c r="K251" i="3" s="1"/>
  <c r="F251" i="3" l="1"/>
  <c r="O251" i="3" s="1"/>
  <c r="J250" i="3"/>
  <c r="G251" i="3"/>
  <c r="P251" i="3" s="1"/>
  <c r="Q251" i="3" l="1"/>
  <c r="H251" i="3"/>
  <c r="I251" i="3" l="1"/>
  <c r="C252" i="3"/>
  <c r="R251" i="3"/>
  <c r="K252" i="3" s="1"/>
  <c r="L252" i="3"/>
  <c r="F252" i="3" l="1"/>
  <c r="O252" i="3" s="1"/>
  <c r="J251" i="3"/>
  <c r="G252" i="3"/>
  <c r="P252" i="3" s="1"/>
  <c r="Q252" i="3" l="1"/>
  <c r="L253" i="3" s="1"/>
  <c r="H252" i="3"/>
  <c r="I252" i="3" l="1"/>
  <c r="C253" i="3"/>
  <c r="R252" i="3"/>
  <c r="K253" i="3" s="1"/>
  <c r="F253" i="3" l="1"/>
  <c r="O253" i="3" s="1"/>
  <c r="J252" i="3"/>
  <c r="G253" i="3"/>
  <c r="P253" i="3" s="1"/>
  <c r="Q253" i="3" l="1"/>
  <c r="H253" i="3"/>
  <c r="I253" i="3" l="1"/>
  <c r="C254" i="3"/>
  <c r="R253" i="3"/>
  <c r="K254" i="3" s="1"/>
  <c r="L254" i="3"/>
  <c r="F254" i="3" l="1"/>
  <c r="O254" i="3" s="1"/>
  <c r="J253" i="3"/>
  <c r="G254" i="3"/>
  <c r="P254" i="3" s="1"/>
  <c r="Q254" i="3" l="1"/>
  <c r="L255" i="3" s="1"/>
  <c r="H254" i="3"/>
  <c r="I254" i="3" l="1"/>
  <c r="C255" i="3"/>
  <c r="R254" i="3"/>
  <c r="K255" i="3" s="1"/>
  <c r="F255" i="3" l="1"/>
  <c r="O255" i="3" s="1"/>
  <c r="J254" i="3"/>
  <c r="G255" i="3"/>
  <c r="P255" i="3" s="1"/>
  <c r="Q255" i="3" l="1"/>
  <c r="H255" i="3"/>
  <c r="I255" i="3" l="1"/>
  <c r="C256" i="3"/>
  <c r="R255" i="3"/>
  <c r="K256" i="3" s="1"/>
  <c r="L256" i="3"/>
  <c r="F256" i="3" l="1"/>
  <c r="O256" i="3" s="1"/>
  <c r="J255" i="3"/>
  <c r="G256" i="3"/>
  <c r="P256" i="3" s="1"/>
  <c r="Q256" i="3" l="1"/>
  <c r="L257" i="3" s="1"/>
  <c r="H256" i="3"/>
  <c r="I256" i="3" l="1"/>
  <c r="C257" i="3"/>
  <c r="R256" i="3"/>
  <c r="K257" i="3" s="1"/>
  <c r="F257" i="3" l="1"/>
  <c r="O257" i="3" s="1"/>
  <c r="J256" i="3"/>
  <c r="G257" i="3"/>
  <c r="P257" i="3" s="1"/>
  <c r="Q257" i="3" l="1"/>
  <c r="H257" i="3"/>
  <c r="I257" i="3" l="1"/>
  <c r="C258" i="3"/>
  <c r="R257" i="3"/>
  <c r="K258" i="3" s="1"/>
  <c r="L258" i="3"/>
  <c r="F258" i="3" l="1"/>
  <c r="O258" i="3" s="1"/>
  <c r="G258" i="3"/>
  <c r="P258" i="3" s="1"/>
  <c r="J257" i="3"/>
  <c r="Q258" i="3" l="1"/>
  <c r="L259" i="3" s="1"/>
  <c r="H258" i="3"/>
  <c r="I258" i="3" l="1"/>
  <c r="C259" i="3"/>
  <c r="R258" i="3"/>
  <c r="K259" i="3" s="1"/>
  <c r="F259" i="3" l="1"/>
  <c r="O259" i="3" s="1"/>
  <c r="J258" i="3"/>
  <c r="G259" i="3"/>
  <c r="P259" i="3" s="1"/>
  <c r="Q259" i="3" l="1"/>
  <c r="H259" i="3"/>
  <c r="I259" i="3" l="1"/>
  <c r="C260" i="3"/>
  <c r="R259" i="3"/>
  <c r="K260" i="3" s="1"/>
  <c r="L260" i="3"/>
  <c r="F260" i="3" l="1"/>
  <c r="O260" i="3" s="1"/>
  <c r="J259" i="3"/>
  <c r="G260" i="3"/>
  <c r="P260" i="3" s="1"/>
  <c r="Q260" i="3" l="1"/>
  <c r="L261" i="3" s="1"/>
  <c r="H260" i="3"/>
  <c r="I260" i="3" l="1"/>
  <c r="C261" i="3"/>
  <c r="R260" i="3"/>
  <c r="K261" i="3" s="1"/>
  <c r="F261" i="3" l="1"/>
  <c r="O261" i="3" s="1"/>
  <c r="J260" i="3"/>
  <c r="G261" i="3"/>
  <c r="P261" i="3" s="1"/>
  <c r="Q261" i="3" l="1"/>
  <c r="H261" i="3"/>
  <c r="I261" i="3" l="1"/>
  <c r="C262" i="3"/>
  <c r="R261" i="3"/>
  <c r="K262" i="3" s="1"/>
  <c r="L262" i="3"/>
  <c r="F262" i="3" l="1"/>
  <c r="O262" i="3" s="1"/>
  <c r="J261" i="3"/>
  <c r="G262" i="3"/>
  <c r="P262" i="3" s="1"/>
  <c r="Q262" i="3" l="1"/>
  <c r="L263" i="3" s="1"/>
  <c r="H262" i="3"/>
  <c r="I262" i="3" l="1"/>
  <c r="C263" i="3"/>
  <c r="R262" i="3"/>
  <c r="K263" i="3" s="1"/>
  <c r="F263" i="3" l="1"/>
  <c r="O263" i="3" s="1"/>
  <c r="J262" i="3"/>
  <c r="G263" i="3"/>
  <c r="P263" i="3" s="1"/>
  <c r="Q263" i="3" l="1"/>
  <c r="H263" i="3"/>
  <c r="I263" i="3" l="1"/>
  <c r="C264" i="3"/>
  <c r="R263" i="3"/>
  <c r="K264" i="3" s="1"/>
  <c r="L264" i="3"/>
  <c r="F264" i="3" l="1"/>
  <c r="O264" i="3" s="1"/>
  <c r="J263" i="3"/>
  <c r="G264" i="3"/>
  <c r="P264" i="3" s="1"/>
  <c r="Q264" i="3" l="1"/>
  <c r="L265" i="3" s="1"/>
  <c r="H264" i="3"/>
  <c r="I264" i="3" l="1"/>
  <c r="C265" i="3"/>
  <c r="R264" i="3"/>
  <c r="K265" i="3" s="1"/>
  <c r="F265" i="3" l="1"/>
  <c r="O265" i="3" s="1"/>
  <c r="J264" i="3"/>
  <c r="G265" i="3"/>
  <c r="P265" i="3" s="1"/>
  <c r="Q265" i="3" l="1"/>
  <c r="H265" i="3"/>
  <c r="I265" i="3" l="1"/>
  <c r="C266" i="3"/>
  <c r="R265" i="3"/>
  <c r="K266" i="3" s="1"/>
  <c r="L266" i="3"/>
  <c r="F266" i="3" l="1"/>
  <c r="O266" i="3" s="1"/>
  <c r="J265" i="3"/>
  <c r="G266" i="3"/>
  <c r="P266" i="3" s="1"/>
  <c r="Q266" i="3" l="1"/>
  <c r="L267" i="3" s="1"/>
  <c r="H266" i="3"/>
  <c r="I266" i="3" l="1"/>
  <c r="C267" i="3"/>
  <c r="R266" i="3"/>
  <c r="K267" i="3" s="1"/>
  <c r="F267" i="3" l="1"/>
  <c r="O267" i="3" s="1"/>
  <c r="J266" i="3"/>
  <c r="G267" i="3"/>
  <c r="P267" i="3" s="1"/>
  <c r="Q267" i="3" l="1"/>
  <c r="H267" i="3"/>
  <c r="I267" i="3" l="1"/>
  <c r="C268" i="3"/>
  <c r="R267" i="3"/>
  <c r="K268" i="3" s="1"/>
  <c r="L268" i="3"/>
  <c r="F268" i="3" l="1"/>
  <c r="O268" i="3" s="1"/>
  <c r="J267" i="3"/>
  <c r="G268" i="3"/>
  <c r="P268" i="3" s="1"/>
  <c r="Q268" i="3" l="1"/>
  <c r="L269" i="3" s="1"/>
  <c r="H268" i="3"/>
  <c r="I268" i="3" l="1"/>
  <c r="C269" i="3"/>
  <c r="R268" i="3"/>
  <c r="K269" i="3" s="1"/>
  <c r="F269" i="3" l="1"/>
  <c r="O269" i="3" s="1"/>
  <c r="J268" i="3"/>
  <c r="G269" i="3"/>
  <c r="P269" i="3" s="1"/>
  <c r="Q269" i="3" l="1"/>
  <c r="H269" i="3"/>
  <c r="I269" i="3" l="1"/>
  <c r="C270" i="3"/>
  <c r="R269" i="3"/>
  <c r="K270" i="3" s="1"/>
  <c r="L270" i="3"/>
  <c r="F270" i="3" l="1"/>
  <c r="O270" i="3" s="1"/>
  <c r="J269" i="3"/>
  <c r="G270" i="3"/>
  <c r="P270" i="3" s="1"/>
  <c r="Q270" i="3" l="1"/>
  <c r="L271" i="3" s="1"/>
  <c r="H270" i="3"/>
  <c r="I270" i="3" l="1"/>
  <c r="C271" i="3"/>
  <c r="R270" i="3"/>
  <c r="K271" i="3" s="1"/>
  <c r="F271" i="3" l="1"/>
  <c r="O271" i="3" s="1"/>
  <c r="J270" i="3"/>
  <c r="G271" i="3"/>
  <c r="P271" i="3" s="1"/>
  <c r="Q271" i="3" l="1"/>
  <c r="H271" i="3"/>
  <c r="I271" i="3" l="1"/>
  <c r="C272" i="3"/>
  <c r="R271" i="3"/>
  <c r="K272" i="3" s="1"/>
  <c r="L272" i="3"/>
  <c r="F272" i="3" l="1"/>
  <c r="O272" i="3" s="1"/>
  <c r="J271" i="3"/>
  <c r="G272" i="3"/>
  <c r="P272" i="3" s="1"/>
  <c r="Q272" i="3" l="1"/>
  <c r="L273" i="3" s="1"/>
  <c r="H272" i="3"/>
  <c r="I272" i="3" l="1"/>
  <c r="C273" i="3"/>
  <c r="R272" i="3"/>
  <c r="K273" i="3" s="1"/>
  <c r="F273" i="3" l="1"/>
  <c r="O273" i="3" s="1"/>
  <c r="J272" i="3"/>
  <c r="G273" i="3"/>
  <c r="P273" i="3" s="1"/>
  <c r="Q273" i="3" l="1"/>
  <c r="H273" i="3"/>
  <c r="I273" i="3" l="1"/>
  <c r="C274" i="3"/>
  <c r="R273" i="3"/>
  <c r="K274" i="3" s="1"/>
  <c r="L274" i="3"/>
  <c r="F274" i="3" l="1"/>
  <c r="O274" i="3" s="1"/>
  <c r="J273" i="3"/>
  <c r="G274" i="3"/>
  <c r="P274" i="3" s="1"/>
  <c r="Q274" i="3" l="1"/>
  <c r="L275" i="3" s="1"/>
  <c r="H274" i="3"/>
  <c r="I274" i="3" l="1"/>
  <c r="C275" i="3"/>
  <c r="R274" i="3"/>
  <c r="K275" i="3" s="1"/>
  <c r="F275" i="3" l="1"/>
  <c r="O275" i="3" s="1"/>
  <c r="J274" i="3"/>
  <c r="G275" i="3"/>
  <c r="P275" i="3" s="1"/>
  <c r="Q275" i="3" l="1"/>
  <c r="H275" i="3"/>
  <c r="I275" i="3" l="1"/>
  <c r="C276" i="3"/>
  <c r="R275" i="3"/>
  <c r="K276" i="3" s="1"/>
  <c r="L276" i="3"/>
  <c r="F276" i="3" l="1"/>
  <c r="O276" i="3" s="1"/>
  <c r="J275" i="3"/>
  <c r="G276" i="3"/>
  <c r="P276" i="3" s="1"/>
  <c r="Q276" i="3" l="1"/>
  <c r="L277" i="3" s="1"/>
  <c r="H276" i="3"/>
  <c r="I276" i="3" l="1"/>
  <c r="C277" i="3"/>
  <c r="R276" i="3"/>
  <c r="K277" i="3" s="1"/>
  <c r="F277" i="3" l="1"/>
  <c r="O277" i="3" s="1"/>
  <c r="J276" i="3"/>
  <c r="G277" i="3"/>
  <c r="P277" i="3" s="1"/>
  <c r="Q277" i="3" l="1"/>
  <c r="H277" i="3"/>
  <c r="I277" i="3" l="1"/>
  <c r="C278" i="3"/>
  <c r="R277" i="3"/>
  <c r="K278" i="3" s="1"/>
  <c r="L278" i="3"/>
  <c r="F278" i="3" l="1"/>
  <c r="O278" i="3" s="1"/>
  <c r="J277" i="3"/>
  <c r="G278" i="3"/>
  <c r="P278" i="3" s="1"/>
  <c r="Q278" i="3" l="1"/>
  <c r="L279" i="3" s="1"/>
  <c r="H278" i="3"/>
  <c r="I278" i="3" l="1"/>
  <c r="C279" i="3"/>
  <c r="R278" i="3"/>
  <c r="K279" i="3" s="1"/>
  <c r="F279" i="3" l="1"/>
  <c r="O279" i="3" s="1"/>
  <c r="J278" i="3"/>
  <c r="G279" i="3"/>
  <c r="P279" i="3" s="1"/>
  <c r="Q279" i="3" l="1"/>
  <c r="H279" i="3"/>
  <c r="I279" i="3" l="1"/>
  <c r="C280" i="3"/>
  <c r="R279" i="3"/>
  <c r="K280" i="3" s="1"/>
  <c r="L280" i="3"/>
  <c r="F280" i="3" l="1"/>
  <c r="O280" i="3" s="1"/>
  <c r="J279" i="3"/>
  <c r="G280" i="3"/>
  <c r="P280" i="3" s="1"/>
  <c r="Q280" i="3" l="1"/>
  <c r="L281" i="3" s="1"/>
  <c r="H280" i="3"/>
  <c r="I280" i="3" l="1"/>
  <c r="C281" i="3"/>
  <c r="R280" i="3"/>
  <c r="K281" i="3" s="1"/>
  <c r="F281" i="3" l="1"/>
  <c r="O281" i="3" s="1"/>
  <c r="G281" i="3"/>
  <c r="P281" i="3" s="1"/>
  <c r="J280" i="3"/>
  <c r="Q281" i="3" l="1"/>
  <c r="H281" i="3"/>
  <c r="I281" i="3" l="1"/>
  <c r="C282" i="3"/>
  <c r="R281" i="3"/>
  <c r="K282" i="3" s="1"/>
  <c r="L282" i="3"/>
  <c r="F282" i="3" l="1"/>
  <c r="O282" i="3" s="1"/>
  <c r="J281" i="3"/>
  <c r="G282" i="3"/>
  <c r="P282" i="3" s="1"/>
  <c r="Q282" i="3" l="1"/>
  <c r="L283" i="3" s="1"/>
  <c r="H282" i="3"/>
  <c r="I282" i="3" l="1"/>
  <c r="C283" i="3"/>
  <c r="R282" i="3"/>
  <c r="K283" i="3" s="1"/>
  <c r="F283" i="3" l="1"/>
  <c r="O283" i="3" s="1"/>
  <c r="J282" i="3"/>
  <c r="G283" i="3"/>
  <c r="P283" i="3" s="1"/>
  <c r="Q283" i="3" l="1"/>
  <c r="H283" i="3"/>
  <c r="I283" i="3" l="1"/>
  <c r="C284" i="3"/>
  <c r="R283" i="3"/>
  <c r="K284" i="3" s="1"/>
  <c r="L284" i="3"/>
  <c r="F284" i="3" l="1"/>
  <c r="O284" i="3" s="1"/>
  <c r="J283" i="3"/>
  <c r="G284" i="3"/>
  <c r="P284" i="3" s="1"/>
  <c r="Q284" i="3" l="1"/>
  <c r="L285" i="3" s="1"/>
  <c r="H284" i="3"/>
  <c r="C285" i="3" l="1"/>
  <c r="I284" i="3"/>
  <c r="R284" i="3"/>
  <c r="K285" i="3" s="1"/>
  <c r="F285" i="3" l="1"/>
  <c r="O285" i="3" s="1"/>
  <c r="G285" i="3"/>
  <c r="P285" i="3" s="1"/>
  <c r="J284" i="3"/>
  <c r="H285" i="3" l="1"/>
  <c r="Q285" i="3"/>
  <c r="R285" i="3" l="1"/>
  <c r="K286" i="3" s="1"/>
  <c r="L286" i="3"/>
  <c r="I285" i="3"/>
  <c r="C286" i="3"/>
  <c r="F286" i="3" l="1"/>
  <c r="O286" i="3" s="1"/>
  <c r="J285" i="3"/>
  <c r="G286" i="3"/>
  <c r="P286" i="3" s="1"/>
  <c r="Q286" i="3" l="1"/>
  <c r="L287" i="3" s="1"/>
  <c r="H286" i="3"/>
  <c r="I286" i="3" l="1"/>
  <c r="C287" i="3"/>
  <c r="R286" i="3"/>
  <c r="K287" i="3" s="1"/>
  <c r="F287" i="3" l="1"/>
  <c r="O287" i="3" s="1"/>
  <c r="J286" i="3"/>
  <c r="G287" i="3"/>
  <c r="P287" i="3" s="1"/>
  <c r="Q287" i="3" l="1"/>
  <c r="H287" i="3"/>
  <c r="I287" i="3" l="1"/>
  <c r="C288" i="3"/>
  <c r="R287" i="3"/>
  <c r="K288" i="3" s="1"/>
  <c r="L288" i="3"/>
  <c r="F288" i="3" l="1"/>
  <c r="O288" i="3" s="1"/>
  <c r="G288" i="3"/>
  <c r="P288" i="3" s="1"/>
  <c r="J287" i="3"/>
  <c r="Q288" i="3" l="1"/>
  <c r="L289" i="3" s="1"/>
  <c r="H288" i="3"/>
  <c r="I288" i="3" l="1"/>
  <c r="C289" i="3"/>
  <c r="R288" i="3"/>
  <c r="K289" i="3" s="1"/>
  <c r="F289" i="3" l="1"/>
  <c r="O289" i="3" s="1"/>
  <c r="J288" i="3"/>
  <c r="G289" i="3"/>
  <c r="P289" i="3" s="1"/>
  <c r="Q289" i="3" l="1"/>
  <c r="H289" i="3"/>
  <c r="I289" i="3" l="1"/>
  <c r="C290" i="3"/>
  <c r="R289" i="3"/>
  <c r="K290" i="3" s="1"/>
  <c r="L290" i="3"/>
  <c r="F290" i="3" l="1"/>
  <c r="O290" i="3" s="1"/>
  <c r="J289" i="3"/>
  <c r="G290" i="3"/>
  <c r="P290" i="3" s="1"/>
  <c r="Q290" i="3" l="1"/>
  <c r="L291" i="3" s="1"/>
  <c r="H290" i="3"/>
  <c r="I290" i="3" l="1"/>
  <c r="C291" i="3"/>
  <c r="R290" i="3"/>
  <c r="K291" i="3" s="1"/>
  <c r="F291" i="3" l="1"/>
  <c r="O291" i="3" s="1"/>
  <c r="J290" i="3"/>
  <c r="G291" i="3"/>
  <c r="P291" i="3" s="1"/>
  <c r="Q291" i="3" l="1"/>
  <c r="H291" i="3"/>
  <c r="I291" i="3" l="1"/>
  <c r="C292" i="3"/>
  <c r="R291" i="3"/>
  <c r="K292" i="3" s="1"/>
  <c r="L292" i="3"/>
  <c r="F292" i="3" l="1"/>
  <c r="O292" i="3" s="1"/>
  <c r="J291" i="3"/>
  <c r="G292" i="3"/>
  <c r="P292" i="3" s="1"/>
  <c r="Q292" i="3" l="1"/>
  <c r="L293" i="3" s="1"/>
  <c r="H292" i="3"/>
  <c r="I292" i="3" l="1"/>
  <c r="C293" i="3"/>
  <c r="R292" i="3"/>
  <c r="K293" i="3" s="1"/>
  <c r="F293" i="3" l="1"/>
  <c r="O293" i="3" s="1"/>
  <c r="J292" i="3"/>
  <c r="G293" i="3"/>
  <c r="P293" i="3" s="1"/>
  <c r="Q293" i="3" l="1"/>
  <c r="H293" i="3"/>
  <c r="I293" i="3" l="1"/>
  <c r="C294" i="3"/>
  <c r="R293" i="3"/>
  <c r="K294" i="3" s="1"/>
  <c r="L294" i="3"/>
  <c r="F294" i="3" l="1"/>
  <c r="O294" i="3" s="1"/>
  <c r="G294" i="3"/>
  <c r="P294" i="3" s="1"/>
  <c r="J293" i="3"/>
  <c r="Q294" i="3" l="1"/>
  <c r="L295" i="3" s="1"/>
  <c r="H294" i="3"/>
  <c r="I294" i="3" l="1"/>
  <c r="C295" i="3"/>
  <c r="R294" i="3"/>
  <c r="K295" i="3" s="1"/>
  <c r="F295" i="3" l="1"/>
  <c r="O295" i="3" s="1"/>
  <c r="J294" i="3"/>
  <c r="G295" i="3"/>
  <c r="P295" i="3" s="1"/>
  <c r="Q295" i="3" l="1"/>
  <c r="H295" i="3"/>
  <c r="I295" i="3" l="1"/>
  <c r="C296" i="3"/>
  <c r="R295" i="3"/>
  <c r="K296" i="3" s="1"/>
  <c r="L296" i="3"/>
  <c r="F296" i="3" l="1"/>
  <c r="O296" i="3" s="1"/>
  <c r="J295" i="3"/>
  <c r="G296" i="3"/>
  <c r="P296" i="3" s="1"/>
  <c r="Q296" i="3" l="1"/>
  <c r="L297" i="3" s="1"/>
  <c r="H296" i="3"/>
  <c r="I296" i="3" l="1"/>
  <c r="C297" i="3"/>
  <c r="R296" i="3"/>
  <c r="K297" i="3" s="1"/>
  <c r="F297" i="3" l="1"/>
  <c r="O297" i="3" s="1"/>
  <c r="J296" i="3"/>
  <c r="G297" i="3"/>
  <c r="P297" i="3" s="1"/>
  <c r="Q297" i="3" l="1"/>
  <c r="H297" i="3"/>
  <c r="I297" i="3" l="1"/>
  <c r="C298" i="3"/>
  <c r="R297" i="3"/>
  <c r="K298" i="3" s="1"/>
  <c r="L298" i="3"/>
  <c r="F298" i="3" l="1"/>
  <c r="O298" i="3" s="1"/>
  <c r="J297" i="3"/>
  <c r="G298" i="3"/>
  <c r="P298" i="3" s="1"/>
  <c r="Q298" i="3" l="1"/>
  <c r="L299" i="3" s="1"/>
  <c r="H298" i="3"/>
  <c r="I298" i="3" l="1"/>
  <c r="C299" i="3"/>
  <c r="R298" i="3"/>
  <c r="K299" i="3" s="1"/>
  <c r="F299" i="3" l="1"/>
  <c r="O299" i="3" s="1"/>
  <c r="J298" i="3"/>
  <c r="G299" i="3"/>
  <c r="P299" i="3" s="1"/>
  <c r="Q299" i="3" l="1"/>
  <c r="H299" i="3"/>
  <c r="I299" i="3" l="1"/>
  <c r="C300" i="3"/>
  <c r="R299" i="3"/>
  <c r="K300" i="3" s="1"/>
  <c r="L300" i="3"/>
  <c r="F300" i="3" l="1"/>
  <c r="O300" i="3" s="1"/>
  <c r="J299" i="3"/>
  <c r="G300" i="3"/>
  <c r="P300" i="3" s="1"/>
  <c r="Q300" i="3" l="1"/>
  <c r="L301" i="3" s="1"/>
  <c r="H300" i="3"/>
  <c r="I300" i="3" l="1"/>
  <c r="C301" i="3"/>
  <c r="R300" i="3"/>
  <c r="K301" i="3" s="1"/>
  <c r="F301" i="3" l="1"/>
  <c r="O301" i="3" s="1"/>
  <c r="G301" i="3"/>
  <c r="P301" i="3" s="1"/>
  <c r="J300" i="3"/>
  <c r="Q301" i="3" l="1"/>
  <c r="H301" i="3"/>
  <c r="I301" i="3" l="1"/>
  <c r="C302" i="3"/>
  <c r="R301" i="3"/>
  <c r="K302" i="3" s="1"/>
  <c r="L302" i="3"/>
  <c r="F302" i="3" l="1"/>
  <c r="O302" i="3" s="1"/>
  <c r="J301" i="3"/>
  <c r="G302" i="3"/>
  <c r="P302" i="3" s="1"/>
  <c r="Q302" i="3" l="1"/>
  <c r="L303" i="3" s="1"/>
  <c r="H302" i="3"/>
  <c r="I302" i="3" l="1"/>
  <c r="C303" i="3"/>
  <c r="R302" i="3"/>
  <c r="K303" i="3" s="1"/>
  <c r="F303" i="3" l="1"/>
  <c r="O303" i="3" s="1"/>
  <c r="J302" i="3"/>
  <c r="G303" i="3"/>
  <c r="P303" i="3" s="1"/>
  <c r="Q303" i="3" l="1"/>
  <c r="H303" i="3"/>
  <c r="I303" i="3" l="1"/>
  <c r="C304" i="3"/>
  <c r="R303" i="3"/>
  <c r="K304" i="3" s="1"/>
  <c r="L304" i="3"/>
  <c r="F304" i="3" l="1"/>
  <c r="O304" i="3" s="1"/>
  <c r="J303" i="3"/>
  <c r="G304" i="3"/>
  <c r="P304" i="3" s="1"/>
  <c r="Q304" i="3" l="1"/>
  <c r="L305" i="3" s="1"/>
  <c r="H304" i="3"/>
  <c r="I304" i="3" l="1"/>
  <c r="C305" i="3"/>
  <c r="R304" i="3"/>
  <c r="K305" i="3" s="1"/>
  <c r="F305" i="3" l="1"/>
  <c r="O305" i="3" s="1"/>
  <c r="J304" i="3"/>
  <c r="G305" i="3"/>
  <c r="P305" i="3" s="1"/>
  <c r="Q305" i="3" l="1"/>
  <c r="H305" i="3"/>
  <c r="I305" i="3" l="1"/>
  <c r="C306" i="3"/>
  <c r="R305" i="3"/>
  <c r="K306" i="3" s="1"/>
  <c r="L306" i="3"/>
  <c r="F306" i="3" l="1"/>
  <c r="O306" i="3" s="1"/>
  <c r="J305" i="3"/>
  <c r="G306" i="3"/>
  <c r="P306" i="3" s="1"/>
  <c r="Q306" i="3" l="1"/>
  <c r="L307" i="3" s="1"/>
  <c r="H306" i="3"/>
  <c r="I306" i="3" l="1"/>
  <c r="C307" i="3"/>
  <c r="R306" i="3"/>
  <c r="K307" i="3" s="1"/>
  <c r="F307" i="3" l="1"/>
  <c r="O307" i="3" s="1"/>
  <c r="J306" i="3"/>
  <c r="G307" i="3"/>
  <c r="P307" i="3" s="1"/>
  <c r="Q307" i="3" l="1"/>
  <c r="H307" i="3"/>
  <c r="I307" i="3" l="1"/>
  <c r="C308" i="3"/>
  <c r="R307" i="3"/>
  <c r="K308" i="3" s="1"/>
  <c r="L308" i="3"/>
  <c r="F308" i="3" l="1"/>
  <c r="O308" i="3" s="1"/>
  <c r="J307" i="3"/>
  <c r="G308" i="3"/>
  <c r="P308" i="3" s="1"/>
  <c r="Q308" i="3" l="1"/>
  <c r="L309" i="3" s="1"/>
  <c r="H308" i="3"/>
  <c r="I308" i="3" l="1"/>
  <c r="C309" i="3"/>
  <c r="R308" i="3"/>
  <c r="K309" i="3" s="1"/>
  <c r="F309" i="3" l="1"/>
  <c r="O309" i="3" s="1"/>
  <c r="J308" i="3"/>
  <c r="G309" i="3"/>
  <c r="P309" i="3" s="1"/>
  <c r="Q309" i="3" l="1"/>
  <c r="H309" i="3"/>
  <c r="I309" i="3" l="1"/>
  <c r="C310" i="3"/>
  <c r="R309" i="3"/>
  <c r="K310" i="3" s="1"/>
  <c r="L310" i="3"/>
  <c r="F310" i="3" l="1"/>
  <c r="O310" i="3" s="1"/>
  <c r="J309" i="3"/>
  <c r="G310" i="3"/>
  <c r="P310" i="3" s="1"/>
  <c r="Q310" i="3" l="1"/>
  <c r="L311" i="3" s="1"/>
  <c r="H310" i="3"/>
  <c r="I310" i="3" l="1"/>
  <c r="C311" i="3"/>
  <c r="R310" i="3"/>
  <c r="K311" i="3" s="1"/>
  <c r="F311" i="3" l="1"/>
  <c r="O311" i="3" s="1"/>
  <c r="J310" i="3"/>
  <c r="G311" i="3"/>
  <c r="P311" i="3" s="1"/>
  <c r="Q311" i="3" l="1"/>
  <c r="H311" i="3"/>
  <c r="I311" i="3" l="1"/>
  <c r="C312" i="3"/>
  <c r="R311" i="3"/>
  <c r="K312" i="3" s="1"/>
  <c r="L312" i="3"/>
  <c r="F312" i="3" l="1"/>
  <c r="O312" i="3" s="1"/>
  <c r="J311" i="3"/>
  <c r="G312" i="3"/>
  <c r="P312" i="3" s="1"/>
  <c r="Q312" i="3" l="1"/>
  <c r="L313" i="3" s="1"/>
  <c r="H312" i="3"/>
  <c r="I312" i="3" l="1"/>
  <c r="C313" i="3"/>
  <c r="R312" i="3"/>
  <c r="K313" i="3" s="1"/>
  <c r="F313" i="3" l="1"/>
  <c r="O313" i="3" s="1"/>
  <c r="J312" i="3"/>
  <c r="G313" i="3"/>
  <c r="P313" i="3" s="1"/>
  <c r="Q313" i="3" l="1"/>
  <c r="H313" i="3"/>
  <c r="I313" i="3" l="1"/>
  <c r="C314" i="3"/>
  <c r="R313" i="3"/>
  <c r="K314" i="3" s="1"/>
  <c r="L314" i="3"/>
  <c r="F314" i="3" l="1"/>
  <c r="O314" i="3" s="1"/>
  <c r="J313" i="3"/>
  <c r="G314" i="3"/>
  <c r="P314" i="3" s="1"/>
  <c r="Q314" i="3" l="1"/>
  <c r="L315" i="3" s="1"/>
  <c r="H314" i="3"/>
  <c r="I314" i="3" l="1"/>
  <c r="C315" i="3"/>
  <c r="R314" i="3"/>
  <c r="K315" i="3" s="1"/>
  <c r="F315" i="3" l="1"/>
  <c r="O315" i="3" s="1"/>
  <c r="J314" i="3"/>
  <c r="G315" i="3"/>
  <c r="P315" i="3" s="1"/>
  <c r="Q315" i="3" l="1"/>
  <c r="H315" i="3"/>
  <c r="I315" i="3" l="1"/>
  <c r="C316" i="3"/>
  <c r="R315" i="3"/>
  <c r="K316" i="3" s="1"/>
  <c r="L316" i="3"/>
  <c r="F316" i="3" l="1"/>
  <c r="O316" i="3" s="1"/>
  <c r="J315" i="3"/>
  <c r="G316" i="3"/>
  <c r="P316" i="3" s="1"/>
  <c r="Q316" i="3" l="1"/>
  <c r="L317" i="3" s="1"/>
  <c r="H316" i="3"/>
  <c r="I316" i="3" l="1"/>
  <c r="C317" i="3"/>
  <c r="R316" i="3"/>
  <c r="K317" i="3" s="1"/>
  <c r="F317" i="3" l="1"/>
  <c r="O317" i="3" s="1"/>
  <c r="J316" i="3"/>
  <c r="G317" i="3"/>
  <c r="P317" i="3" s="1"/>
  <c r="Q317" i="3" l="1"/>
  <c r="H317" i="3"/>
  <c r="I317" i="3" l="1"/>
  <c r="C318" i="3"/>
  <c r="R317" i="3"/>
  <c r="K318" i="3" s="1"/>
  <c r="L318" i="3"/>
  <c r="F318" i="3" l="1"/>
  <c r="O318" i="3" s="1"/>
  <c r="G318" i="3"/>
  <c r="P318" i="3" s="1"/>
  <c r="J317" i="3"/>
  <c r="Q318" i="3" l="1"/>
  <c r="L319" i="3" s="1"/>
  <c r="H318" i="3"/>
  <c r="I318" i="3" l="1"/>
  <c r="C319" i="3"/>
  <c r="R318" i="3"/>
  <c r="K319" i="3" s="1"/>
  <c r="F319" i="3" l="1"/>
  <c r="O319" i="3" s="1"/>
  <c r="G319" i="3"/>
  <c r="P319" i="3" s="1"/>
  <c r="J318" i="3"/>
  <c r="Q319" i="3" l="1"/>
  <c r="H319" i="3"/>
  <c r="I319" i="3" l="1"/>
  <c r="C320" i="3"/>
  <c r="R319" i="3"/>
  <c r="K320" i="3" s="1"/>
  <c r="L320" i="3"/>
  <c r="F320" i="3" l="1"/>
  <c r="O320" i="3" s="1"/>
  <c r="J319" i="3"/>
  <c r="G320" i="3"/>
  <c r="P320" i="3" s="1"/>
  <c r="Q320" i="3" l="1"/>
  <c r="L321" i="3" s="1"/>
  <c r="H320" i="3"/>
  <c r="I320" i="3" l="1"/>
  <c r="C321" i="3"/>
  <c r="R320" i="3"/>
  <c r="K321" i="3" s="1"/>
  <c r="F321" i="3" l="1"/>
  <c r="O321" i="3" s="1"/>
  <c r="J320" i="3"/>
  <c r="G321" i="3"/>
  <c r="P321" i="3" s="1"/>
  <c r="Q321" i="3" l="1"/>
  <c r="H321" i="3"/>
  <c r="I321" i="3" l="1"/>
  <c r="C322" i="3"/>
  <c r="R321" i="3"/>
  <c r="K322" i="3" s="1"/>
  <c r="L322" i="3"/>
  <c r="F322" i="3" l="1"/>
  <c r="O322" i="3" s="1"/>
  <c r="J321" i="3"/>
  <c r="G322" i="3"/>
  <c r="P322" i="3" s="1"/>
  <c r="Q322" i="3" l="1"/>
  <c r="L323" i="3" s="1"/>
  <c r="H322" i="3"/>
  <c r="I322" i="3" l="1"/>
  <c r="C323" i="3"/>
  <c r="R322" i="3"/>
  <c r="K323" i="3" s="1"/>
  <c r="F323" i="3" l="1"/>
  <c r="O323" i="3" s="1"/>
  <c r="J322" i="3"/>
  <c r="G323" i="3"/>
  <c r="P323" i="3" s="1"/>
  <c r="Q323" i="3" l="1"/>
  <c r="H323" i="3"/>
  <c r="I323" i="3" l="1"/>
  <c r="C324" i="3"/>
  <c r="R323" i="3"/>
  <c r="K324" i="3" s="1"/>
  <c r="L324" i="3"/>
  <c r="F324" i="3" l="1"/>
  <c r="O324" i="3" s="1"/>
  <c r="J323" i="3"/>
  <c r="G324" i="3"/>
  <c r="P324" i="3" s="1"/>
  <c r="Q324" i="3" l="1"/>
  <c r="L325" i="3" s="1"/>
  <c r="H324" i="3"/>
  <c r="I324" i="3" l="1"/>
  <c r="C325" i="3"/>
  <c r="R324" i="3"/>
  <c r="K325" i="3" s="1"/>
  <c r="F325" i="3" l="1"/>
  <c r="O325" i="3" s="1"/>
  <c r="J324" i="3"/>
  <c r="G325" i="3"/>
  <c r="P325" i="3" s="1"/>
  <c r="Q325" i="3" l="1"/>
  <c r="H325" i="3"/>
  <c r="I325" i="3" l="1"/>
  <c r="C326" i="3"/>
  <c r="R325" i="3"/>
  <c r="K326" i="3" s="1"/>
  <c r="L326" i="3"/>
  <c r="F326" i="3" l="1"/>
  <c r="O326" i="3" s="1"/>
  <c r="J325" i="3"/>
  <c r="G326" i="3"/>
  <c r="P326" i="3" s="1"/>
  <c r="Q326" i="3" l="1"/>
  <c r="L327" i="3" s="1"/>
  <c r="H326" i="3"/>
  <c r="I326" i="3" l="1"/>
  <c r="C327" i="3"/>
  <c r="R326" i="3"/>
  <c r="K327" i="3" s="1"/>
  <c r="F327" i="3" l="1"/>
  <c r="O327" i="3" s="1"/>
  <c r="J326" i="3"/>
  <c r="G327" i="3"/>
  <c r="P327" i="3" s="1"/>
  <c r="Q327" i="3" l="1"/>
  <c r="H327" i="3"/>
  <c r="I327" i="3" l="1"/>
  <c r="C328" i="3"/>
  <c r="R327" i="3"/>
  <c r="K328" i="3" s="1"/>
  <c r="L328" i="3"/>
  <c r="F328" i="3" l="1"/>
  <c r="O328" i="3" s="1"/>
  <c r="G328" i="3"/>
  <c r="P328" i="3" s="1"/>
  <c r="J327" i="3"/>
  <c r="Q328" i="3" l="1"/>
  <c r="L329" i="3" s="1"/>
  <c r="H328" i="3"/>
  <c r="I328" i="3" l="1"/>
  <c r="C329" i="3"/>
  <c r="R328" i="3"/>
  <c r="K329" i="3" s="1"/>
  <c r="F329" i="3" l="1"/>
  <c r="O329" i="3" s="1"/>
  <c r="G329" i="3"/>
  <c r="P329" i="3" s="1"/>
  <c r="J328" i="3"/>
  <c r="Q329" i="3" l="1"/>
  <c r="H329" i="3"/>
  <c r="I329" i="3" l="1"/>
  <c r="C330" i="3"/>
  <c r="R329" i="3"/>
  <c r="K330" i="3" s="1"/>
  <c r="L330" i="3"/>
  <c r="F330" i="3" l="1"/>
  <c r="O330" i="3" s="1"/>
  <c r="J329" i="3"/>
  <c r="G330" i="3"/>
  <c r="P330" i="3" s="1"/>
  <c r="Q330" i="3" l="1"/>
  <c r="L331" i="3" s="1"/>
  <c r="H330" i="3"/>
  <c r="I330" i="3" l="1"/>
  <c r="C331" i="3"/>
  <c r="R330" i="3"/>
  <c r="K331" i="3" s="1"/>
  <c r="F331" i="3" l="1"/>
  <c r="O331" i="3" s="1"/>
  <c r="G331" i="3"/>
  <c r="P331" i="3" s="1"/>
  <c r="J330" i="3"/>
  <c r="Q331" i="3" l="1"/>
  <c r="H331" i="3"/>
  <c r="I331" i="3" l="1"/>
  <c r="C332" i="3"/>
  <c r="R331" i="3"/>
  <c r="K332" i="3" s="1"/>
  <c r="L332" i="3"/>
  <c r="F332" i="3" l="1"/>
  <c r="O332" i="3" s="1"/>
  <c r="J331" i="3"/>
  <c r="G332" i="3"/>
  <c r="P332" i="3" s="1"/>
  <c r="Q332" i="3" l="1"/>
  <c r="L333" i="3" s="1"/>
  <c r="H332" i="3"/>
  <c r="I332" i="3" l="1"/>
  <c r="C333" i="3"/>
  <c r="R332" i="3"/>
  <c r="K333" i="3" s="1"/>
  <c r="F333" i="3" l="1"/>
  <c r="O333" i="3" s="1"/>
  <c r="J332" i="3"/>
  <c r="G333" i="3"/>
  <c r="P333" i="3" s="1"/>
  <c r="Q333" i="3" l="1"/>
  <c r="H333" i="3"/>
  <c r="I333" i="3" l="1"/>
  <c r="C334" i="3"/>
  <c r="R333" i="3"/>
  <c r="K334" i="3" s="1"/>
  <c r="L334" i="3"/>
  <c r="F334" i="3" l="1"/>
  <c r="O334" i="3" s="1"/>
  <c r="J333" i="3"/>
  <c r="G334" i="3"/>
  <c r="P334" i="3" s="1"/>
  <c r="Q334" i="3" l="1"/>
  <c r="L335" i="3" s="1"/>
  <c r="H334" i="3"/>
  <c r="I334" i="3" l="1"/>
  <c r="C335" i="3"/>
  <c r="R334" i="3"/>
  <c r="K335" i="3" s="1"/>
  <c r="F335" i="3" l="1"/>
  <c r="O335" i="3" s="1"/>
  <c r="J334" i="3"/>
  <c r="G335" i="3"/>
  <c r="P335" i="3" s="1"/>
  <c r="Q335" i="3" l="1"/>
  <c r="H335" i="3"/>
  <c r="I335" i="3" l="1"/>
  <c r="C336" i="3"/>
  <c r="R335" i="3"/>
  <c r="K336" i="3" s="1"/>
  <c r="L336" i="3"/>
  <c r="F336" i="3" l="1"/>
  <c r="O336" i="3" s="1"/>
  <c r="J335" i="3"/>
  <c r="G336" i="3"/>
  <c r="P336" i="3" s="1"/>
  <c r="Q336" i="3" l="1"/>
  <c r="L337" i="3" s="1"/>
  <c r="H336" i="3"/>
  <c r="I336" i="3" l="1"/>
  <c r="C337" i="3"/>
  <c r="R336" i="3"/>
  <c r="K337" i="3" s="1"/>
  <c r="F337" i="3" l="1"/>
  <c r="O337" i="3" s="1"/>
  <c r="J336" i="3"/>
  <c r="G337" i="3"/>
  <c r="P337" i="3" s="1"/>
  <c r="Q337" i="3" l="1"/>
  <c r="H337" i="3"/>
  <c r="I337" i="3" l="1"/>
  <c r="C338" i="3"/>
  <c r="R337" i="3"/>
  <c r="K338" i="3" s="1"/>
  <c r="L338" i="3"/>
  <c r="F338" i="3" l="1"/>
  <c r="O338" i="3" s="1"/>
  <c r="J337" i="3"/>
  <c r="G338" i="3"/>
  <c r="P338" i="3" s="1"/>
  <c r="Q338" i="3" l="1"/>
  <c r="L339" i="3" s="1"/>
  <c r="H338" i="3"/>
  <c r="I338" i="3" l="1"/>
  <c r="C339" i="3"/>
  <c r="R338" i="3"/>
  <c r="K339" i="3" s="1"/>
  <c r="F339" i="3" l="1"/>
  <c r="O339" i="3" s="1"/>
  <c r="G339" i="3"/>
  <c r="P339" i="3" s="1"/>
  <c r="J338" i="3"/>
  <c r="Q339" i="3" l="1"/>
  <c r="H339" i="3"/>
  <c r="I339" i="3" l="1"/>
  <c r="C340" i="3"/>
  <c r="R339" i="3"/>
  <c r="K340" i="3" s="1"/>
  <c r="L340" i="3"/>
  <c r="F340" i="3" l="1"/>
  <c r="O340" i="3" s="1"/>
  <c r="G340" i="3"/>
  <c r="P340" i="3" s="1"/>
  <c r="J339" i="3"/>
  <c r="Q340" i="3" l="1"/>
  <c r="L341" i="3" s="1"/>
  <c r="H340" i="3"/>
  <c r="I340" i="3" l="1"/>
  <c r="C341" i="3"/>
  <c r="R340" i="3"/>
  <c r="K341" i="3" s="1"/>
  <c r="F341" i="3" l="1"/>
  <c r="O341" i="3" s="1"/>
  <c r="G341" i="3"/>
  <c r="P341" i="3" s="1"/>
  <c r="J340" i="3"/>
  <c r="Q341" i="3" l="1"/>
  <c r="H341" i="3"/>
  <c r="I341" i="3" l="1"/>
  <c r="C342" i="3"/>
  <c r="R341" i="3"/>
  <c r="K342" i="3" s="1"/>
  <c r="L342" i="3"/>
  <c r="F342" i="3" l="1"/>
  <c r="O342" i="3" s="1"/>
  <c r="J341" i="3"/>
  <c r="G342" i="3"/>
  <c r="P342" i="3" s="1"/>
  <c r="Q342" i="3" l="1"/>
  <c r="L343" i="3" s="1"/>
  <c r="H342" i="3"/>
  <c r="I342" i="3" l="1"/>
  <c r="C343" i="3"/>
  <c r="R342" i="3"/>
  <c r="K343" i="3" s="1"/>
  <c r="F343" i="3" l="1"/>
  <c r="O343" i="3" s="1"/>
  <c r="J342" i="3"/>
  <c r="G343" i="3"/>
  <c r="P343" i="3" s="1"/>
  <c r="Q343" i="3" l="1"/>
  <c r="H343" i="3"/>
  <c r="I343" i="3" l="1"/>
  <c r="C344" i="3"/>
  <c r="R343" i="3"/>
  <c r="K344" i="3" s="1"/>
  <c r="L344" i="3"/>
  <c r="F344" i="3" l="1"/>
  <c r="O344" i="3" s="1"/>
  <c r="J343" i="3"/>
  <c r="G344" i="3"/>
  <c r="P344" i="3" s="1"/>
  <c r="Q344" i="3" l="1"/>
  <c r="L345" i="3" s="1"/>
  <c r="H344" i="3"/>
  <c r="I344" i="3" l="1"/>
  <c r="C345" i="3"/>
  <c r="R344" i="3"/>
  <c r="K345" i="3" s="1"/>
  <c r="F345" i="3" l="1"/>
  <c r="O345" i="3" s="1"/>
  <c r="J344" i="3"/>
  <c r="G345" i="3"/>
  <c r="P345" i="3" s="1"/>
  <c r="Q345" i="3" l="1"/>
  <c r="H345" i="3"/>
  <c r="I345" i="3" l="1"/>
  <c r="C346" i="3"/>
  <c r="R345" i="3"/>
  <c r="K346" i="3" s="1"/>
  <c r="L346" i="3"/>
  <c r="F346" i="3" l="1"/>
  <c r="O346" i="3" s="1"/>
  <c r="J345" i="3"/>
  <c r="G346" i="3"/>
  <c r="P346" i="3" s="1"/>
  <c r="Q346" i="3" l="1"/>
  <c r="L347" i="3" s="1"/>
  <c r="H346" i="3"/>
  <c r="I346" i="3" l="1"/>
  <c r="C347" i="3"/>
  <c r="R346" i="3"/>
  <c r="K347" i="3" s="1"/>
  <c r="F347" i="3" l="1"/>
  <c r="O347" i="3" s="1"/>
  <c r="G347" i="3"/>
  <c r="P347" i="3" s="1"/>
  <c r="J346" i="3"/>
  <c r="Q347" i="3" l="1"/>
  <c r="H347" i="3"/>
  <c r="I347" i="3" l="1"/>
  <c r="C348" i="3"/>
  <c r="R347" i="3"/>
  <c r="K348" i="3" s="1"/>
  <c r="L348" i="3"/>
  <c r="F348" i="3" l="1"/>
  <c r="O348" i="3" s="1"/>
  <c r="J347" i="3"/>
  <c r="G348" i="3"/>
  <c r="P348" i="3" s="1"/>
  <c r="Q348" i="3" l="1"/>
  <c r="L349" i="3" s="1"/>
  <c r="H348" i="3"/>
  <c r="I348" i="3" l="1"/>
  <c r="C349" i="3"/>
  <c r="R348" i="3"/>
  <c r="K349" i="3" s="1"/>
  <c r="F349" i="3" l="1"/>
  <c r="O349" i="3" s="1"/>
  <c r="J348" i="3"/>
  <c r="G349" i="3"/>
  <c r="P349" i="3" s="1"/>
  <c r="Q349" i="3" l="1"/>
  <c r="H349" i="3"/>
  <c r="I349" i="3" l="1"/>
  <c r="C350" i="3"/>
  <c r="R349" i="3"/>
  <c r="K350" i="3" s="1"/>
  <c r="L350" i="3"/>
  <c r="F350" i="3" l="1"/>
  <c r="O350" i="3" s="1"/>
  <c r="J349" i="3"/>
  <c r="G350" i="3"/>
  <c r="P350" i="3" s="1"/>
  <c r="Q350" i="3" l="1"/>
  <c r="L351" i="3" s="1"/>
  <c r="H350" i="3"/>
  <c r="I350" i="3" l="1"/>
  <c r="C351" i="3"/>
  <c r="R350" i="3"/>
  <c r="K351" i="3" s="1"/>
  <c r="F351" i="3" l="1"/>
  <c r="O351" i="3" s="1"/>
  <c r="G351" i="3"/>
  <c r="P351" i="3" s="1"/>
  <c r="J350" i="3"/>
  <c r="Q351" i="3" l="1"/>
  <c r="H351" i="3"/>
  <c r="I351" i="3" l="1"/>
  <c r="C352" i="3"/>
  <c r="R351" i="3"/>
  <c r="K352" i="3" s="1"/>
  <c r="L352" i="3"/>
  <c r="F352" i="3" l="1"/>
  <c r="O352" i="3" s="1"/>
  <c r="J351" i="3"/>
  <c r="G352" i="3"/>
  <c r="P352" i="3" s="1"/>
  <c r="Q352" i="3" l="1"/>
  <c r="L353" i="3" s="1"/>
  <c r="H352" i="3"/>
  <c r="I352" i="3" l="1"/>
  <c r="C353" i="3"/>
  <c r="R352" i="3"/>
  <c r="K353" i="3" s="1"/>
  <c r="F353" i="3" l="1"/>
  <c r="O353" i="3" s="1"/>
  <c r="J352" i="3"/>
  <c r="G353" i="3"/>
  <c r="P353" i="3" s="1"/>
  <c r="Q353" i="3" l="1"/>
  <c r="H353" i="3"/>
  <c r="I353" i="3" l="1"/>
  <c r="C354" i="3"/>
  <c r="R353" i="3"/>
  <c r="K354" i="3" s="1"/>
  <c r="L354" i="3"/>
  <c r="F354" i="3" l="1"/>
  <c r="O354" i="3" s="1"/>
  <c r="J353" i="3"/>
  <c r="G354" i="3"/>
  <c r="P354" i="3" s="1"/>
  <c r="Q354" i="3" l="1"/>
  <c r="L355" i="3" s="1"/>
  <c r="H354" i="3"/>
  <c r="I354" i="3" l="1"/>
  <c r="C355" i="3"/>
  <c r="R354" i="3"/>
  <c r="K355" i="3" s="1"/>
  <c r="F355" i="3" l="1"/>
  <c r="O355" i="3" s="1"/>
  <c r="J354" i="3"/>
  <c r="G355" i="3"/>
  <c r="P355" i="3" s="1"/>
  <c r="Q355" i="3" l="1"/>
  <c r="H355" i="3"/>
  <c r="I355" i="3" l="1"/>
  <c r="C356" i="3"/>
  <c r="R355" i="3"/>
  <c r="K356" i="3" s="1"/>
  <c r="L356" i="3"/>
  <c r="F356" i="3" l="1"/>
  <c r="O356" i="3" s="1"/>
  <c r="J355" i="3"/>
  <c r="G356" i="3"/>
  <c r="P356" i="3" s="1"/>
  <c r="Q356" i="3" l="1"/>
  <c r="L357" i="3" s="1"/>
  <c r="H356" i="3"/>
  <c r="I356" i="3" l="1"/>
  <c r="C357" i="3"/>
  <c r="R356" i="3"/>
  <c r="K357" i="3" s="1"/>
  <c r="F357" i="3" l="1"/>
  <c r="O357" i="3" s="1"/>
  <c r="J356" i="3"/>
  <c r="G357" i="3"/>
  <c r="P357" i="3" s="1"/>
  <c r="Q357" i="3" l="1"/>
  <c r="H357" i="3"/>
  <c r="I357" i="3" l="1"/>
  <c r="C358" i="3"/>
  <c r="R357" i="3"/>
  <c r="K358" i="3" s="1"/>
  <c r="L358" i="3"/>
  <c r="F358" i="3" l="1"/>
  <c r="O358" i="3" s="1"/>
  <c r="G358" i="3"/>
  <c r="P358" i="3" s="1"/>
  <c r="J357" i="3"/>
  <c r="Q358" i="3" l="1"/>
  <c r="L359" i="3" s="1"/>
  <c r="H358" i="3"/>
  <c r="I358" i="3" l="1"/>
  <c r="C359" i="3"/>
  <c r="R358" i="3"/>
  <c r="K359" i="3" s="1"/>
  <c r="F359" i="3" l="1"/>
  <c r="O359" i="3" s="1"/>
  <c r="J358" i="3"/>
  <c r="G359" i="3"/>
  <c r="P359" i="3" s="1"/>
  <c r="Q359" i="3" l="1"/>
  <c r="H359" i="3"/>
  <c r="I359" i="3" l="1"/>
  <c r="C360" i="3"/>
  <c r="R359" i="3"/>
  <c r="K360" i="3" s="1"/>
  <c r="L360" i="3"/>
  <c r="F360" i="3" l="1"/>
  <c r="O360" i="3" s="1"/>
  <c r="J359" i="3"/>
  <c r="G360" i="3"/>
  <c r="P360" i="3" s="1"/>
  <c r="Q360" i="3" l="1"/>
  <c r="L361" i="3" s="1"/>
  <c r="H360" i="3"/>
  <c r="I360" i="3" l="1"/>
  <c r="C361" i="3"/>
  <c r="R360" i="3"/>
  <c r="K361" i="3" s="1"/>
  <c r="F361" i="3" l="1"/>
  <c r="O361" i="3" s="1"/>
  <c r="J360" i="3"/>
  <c r="G361" i="3"/>
  <c r="P361" i="3" s="1"/>
  <c r="H361" i="3" l="1"/>
  <c r="Q361" i="3"/>
  <c r="R361" i="3" l="1"/>
  <c r="K362" i="3" s="1"/>
  <c r="L362" i="3"/>
  <c r="I361" i="3"/>
  <c r="C362" i="3"/>
  <c r="F362" i="3" l="1"/>
  <c r="O362" i="3" s="1"/>
  <c r="J361" i="3"/>
  <c r="G362" i="3"/>
  <c r="P362" i="3" s="1"/>
  <c r="Q362" i="3" l="1"/>
  <c r="L363" i="3" s="1"/>
  <c r="H362" i="3"/>
  <c r="I362" i="3" l="1"/>
  <c r="C363" i="3"/>
  <c r="R362" i="3"/>
  <c r="K363" i="3" s="1"/>
  <c r="F363" i="3" l="1"/>
  <c r="O363" i="3" s="1"/>
  <c r="G363" i="3"/>
  <c r="P363" i="3" s="1"/>
  <c r="J362" i="3"/>
  <c r="Q363" i="3" l="1"/>
  <c r="H363" i="3"/>
  <c r="I363" i="3" l="1"/>
  <c r="C364" i="3"/>
  <c r="R363" i="3"/>
  <c r="K364" i="3" s="1"/>
  <c r="L364" i="3"/>
  <c r="F364" i="3" l="1"/>
  <c r="O364" i="3" s="1"/>
  <c r="J363" i="3"/>
  <c r="G364" i="3"/>
  <c r="P364" i="3" s="1"/>
  <c r="Q364" i="3" l="1"/>
  <c r="L365" i="3" s="1"/>
  <c r="H364" i="3"/>
  <c r="I364" i="3" l="1"/>
  <c r="C365" i="3"/>
  <c r="R364" i="3"/>
  <c r="K365" i="3" s="1"/>
  <c r="F365" i="3" l="1"/>
  <c r="O365" i="3" s="1"/>
  <c r="J364" i="3"/>
  <c r="G365" i="3"/>
  <c r="P365" i="3" s="1"/>
  <c r="Q365" i="3" l="1"/>
  <c r="H365" i="3"/>
  <c r="I365" i="3" l="1"/>
  <c r="C366" i="3"/>
  <c r="R365" i="3"/>
  <c r="K366" i="3" s="1"/>
  <c r="L366" i="3"/>
  <c r="F366" i="3" l="1"/>
  <c r="O366" i="3" s="1"/>
  <c r="G366" i="3"/>
  <c r="P366" i="3" s="1"/>
  <c r="J365" i="3"/>
  <c r="Q366" i="3" l="1"/>
  <c r="L367" i="3" s="1"/>
  <c r="H366" i="3"/>
  <c r="I366" i="3" l="1"/>
  <c r="C367" i="3"/>
  <c r="R366" i="3"/>
  <c r="K367" i="3" s="1"/>
  <c r="F367" i="3" l="1"/>
  <c r="O367" i="3" s="1"/>
  <c r="G367" i="3"/>
  <c r="P367" i="3" s="1"/>
  <c r="J366" i="3"/>
  <c r="Q367" i="3" l="1"/>
  <c r="H367" i="3"/>
  <c r="I367" i="3" l="1"/>
  <c r="C368" i="3"/>
  <c r="R367" i="3"/>
  <c r="K368" i="3" s="1"/>
  <c r="L368" i="3"/>
  <c r="F368" i="3" l="1"/>
  <c r="O368" i="3" s="1"/>
  <c r="J367" i="3"/>
  <c r="G368" i="3"/>
  <c r="P368" i="3" s="1"/>
  <c r="Q368" i="3" l="1"/>
  <c r="L369" i="3" s="1"/>
  <c r="H368" i="3"/>
  <c r="I368" i="3" l="1"/>
  <c r="C369" i="3"/>
  <c r="R368" i="3"/>
  <c r="K369" i="3" s="1"/>
  <c r="F369" i="3" l="1"/>
  <c r="O369" i="3" s="1"/>
  <c r="G369" i="3"/>
  <c r="P369" i="3" s="1"/>
  <c r="J368" i="3"/>
  <c r="Q369" i="3" l="1"/>
  <c r="L370" i="3" s="1"/>
  <c r="H369" i="3"/>
  <c r="I369" i="3" l="1"/>
  <c r="C370" i="3"/>
  <c r="R369" i="3"/>
  <c r="K370" i="3" s="1"/>
  <c r="F370" i="3" l="1"/>
  <c r="O370" i="3" s="1"/>
  <c r="J369" i="3"/>
  <c r="G370" i="3"/>
  <c r="P370" i="3" s="1"/>
  <c r="Q370" i="3" l="1"/>
  <c r="H370" i="3"/>
  <c r="I370" i="3" l="1"/>
  <c r="C371" i="3"/>
  <c r="R370" i="3"/>
  <c r="K371" i="3" s="1"/>
  <c r="L371" i="3"/>
  <c r="F371" i="3" l="1"/>
  <c r="O371" i="3" s="1"/>
  <c r="G371" i="3"/>
  <c r="P371" i="3" s="1"/>
  <c r="J370" i="3"/>
  <c r="Q371" i="3" l="1"/>
  <c r="L372" i="3" s="1"/>
  <c r="H371" i="3"/>
  <c r="I371" i="3" l="1"/>
  <c r="C372" i="3"/>
  <c r="R371" i="3"/>
  <c r="K372" i="3" s="1"/>
  <c r="F372" i="3" l="1"/>
  <c r="O372" i="3" s="1"/>
  <c r="J371" i="3"/>
  <c r="G372" i="3"/>
  <c r="P372" i="3" s="1"/>
  <c r="Q372" i="3" l="1"/>
  <c r="H372" i="3"/>
  <c r="I372" i="3" l="1"/>
  <c r="C373" i="3"/>
  <c r="R372" i="3"/>
  <c r="K373" i="3" s="1"/>
  <c r="L373" i="3"/>
  <c r="F373" i="3" l="1"/>
  <c r="O373" i="3" s="1"/>
  <c r="J372" i="3"/>
  <c r="G373" i="3"/>
  <c r="P373" i="3" s="1"/>
  <c r="Q373" i="3" l="1"/>
  <c r="L374" i="3" s="1"/>
  <c r="H373" i="3"/>
  <c r="I373" i="3" l="1"/>
  <c r="C374" i="3"/>
  <c r="R373" i="3"/>
  <c r="K374" i="3" s="1"/>
  <c r="F374" i="3" l="1"/>
  <c r="O374" i="3" s="1"/>
  <c r="J373" i="3"/>
  <c r="G374" i="3"/>
  <c r="P374" i="3" s="1"/>
  <c r="Q374" i="3" l="1"/>
  <c r="H374" i="3"/>
  <c r="I374" i="3" l="1"/>
  <c r="C375" i="3"/>
  <c r="R374" i="3"/>
  <c r="K375" i="3" s="1"/>
  <c r="L375" i="3"/>
  <c r="F375" i="3" l="1"/>
  <c r="O375" i="3" s="1"/>
  <c r="J374" i="3"/>
  <c r="G375" i="3"/>
  <c r="P375" i="3" s="1"/>
  <c r="Q375" i="3" l="1"/>
  <c r="L376" i="3" s="1"/>
  <c r="H375" i="3"/>
  <c r="I375" i="3" l="1"/>
  <c r="C376" i="3"/>
  <c r="R375" i="3"/>
  <c r="K376" i="3" s="1"/>
  <c r="F376" i="3" l="1"/>
  <c r="O376" i="3" s="1"/>
  <c r="J375" i="3"/>
  <c r="G376" i="3"/>
  <c r="P376" i="3" s="1"/>
  <c r="Q376" i="3" l="1"/>
  <c r="L377" i="3" s="1"/>
  <c r="H376" i="3"/>
  <c r="I376" i="3" l="1"/>
  <c r="C377" i="3"/>
  <c r="R376" i="3"/>
  <c r="K377" i="3" s="1"/>
  <c r="F377" i="3" l="1"/>
  <c r="O377" i="3" s="1"/>
  <c r="J376" i="3"/>
  <c r="G377" i="3"/>
  <c r="P377" i="3" s="1"/>
  <c r="Q377" i="3" l="1"/>
  <c r="H377" i="3"/>
  <c r="I377" i="3" l="1"/>
  <c r="C378" i="3"/>
  <c r="R377" i="3"/>
  <c r="K378" i="3" s="1"/>
  <c r="L378" i="3"/>
  <c r="F378" i="3" l="1"/>
  <c r="O378" i="3" s="1"/>
  <c r="J377" i="3"/>
  <c r="G378" i="3"/>
  <c r="P378" i="3" s="1"/>
  <c r="Q378" i="3" l="1"/>
  <c r="L379" i="3" s="1"/>
  <c r="H378" i="3"/>
  <c r="I378" i="3" l="1"/>
  <c r="C379" i="3"/>
  <c r="R378" i="3"/>
  <c r="K379" i="3" s="1"/>
  <c r="F379" i="3" l="1"/>
  <c r="O379" i="3" s="1"/>
  <c r="G379" i="3"/>
  <c r="P379" i="3" s="1"/>
  <c r="J378" i="3"/>
  <c r="Q379" i="3" l="1"/>
  <c r="H379" i="3"/>
  <c r="I379" i="3" l="1"/>
  <c r="C380" i="3"/>
  <c r="R379" i="3"/>
  <c r="K380" i="3" s="1"/>
  <c r="L380" i="3"/>
  <c r="F380" i="3" l="1"/>
  <c r="O380" i="3" s="1"/>
  <c r="J379" i="3"/>
  <c r="G380" i="3"/>
  <c r="P380" i="3" s="1"/>
  <c r="Q380" i="3" l="1"/>
  <c r="L381" i="3" s="1"/>
  <c r="H380" i="3"/>
  <c r="I380" i="3" l="1"/>
  <c r="C381" i="3"/>
  <c r="R380" i="3"/>
  <c r="K381" i="3" s="1"/>
  <c r="F381" i="3" l="1"/>
  <c r="O381" i="3" s="1"/>
  <c r="J380" i="3"/>
  <c r="G381" i="3"/>
  <c r="P381" i="3" s="1"/>
  <c r="Q381" i="3" l="1"/>
  <c r="H381" i="3"/>
  <c r="I381" i="3" l="1"/>
  <c r="C382" i="3"/>
  <c r="R381" i="3"/>
  <c r="K382" i="3" s="1"/>
  <c r="L382" i="3"/>
  <c r="F382" i="3" l="1"/>
  <c r="O382" i="3" s="1"/>
  <c r="J381" i="3"/>
  <c r="G382" i="3"/>
  <c r="P382" i="3" s="1"/>
  <c r="Q382" i="3" l="1"/>
  <c r="L383" i="3" s="1"/>
  <c r="H382" i="3"/>
  <c r="I382" i="3" l="1"/>
  <c r="C383" i="3"/>
  <c r="R382" i="3"/>
  <c r="K383" i="3" s="1"/>
  <c r="F383" i="3" l="1"/>
  <c r="O383" i="3" s="1"/>
  <c r="G383" i="3"/>
  <c r="P383" i="3" s="1"/>
  <c r="J382" i="3"/>
  <c r="Q383" i="3" l="1"/>
  <c r="H383" i="3"/>
  <c r="I383" i="3" l="1"/>
  <c r="C384" i="3"/>
  <c r="R383" i="3"/>
  <c r="K384" i="3" s="1"/>
  <c r="L384" i="3"/>
  <c r="F384" i="3" l="1"/>
  <c r="O384" i="3" s="1"/>
  <c r="G384" i="3"/>
  <c r="P384" i="3" s="1"/>
  <c r="J383" i="3"/>
  <c r="Q384" i="3" l="1"/>
  <c r="L385" i="3" s="1"/>
  <c r="H384" i="3"/>
  <c r="I384" i="3" l="1"/>
  <c r="C385" i="3"/>
  <c r="R384" i="3"/>
  <c r="K385" i="3" s="1"/>
  <c r="F385" i="3" l="1"/>
  <c r="O385" i="3" s="1"/>
  <c r="J384" i="3"/>
  <c r="G385" i="3"/>
  <c r="P385" i="3" s="1"/>
  <c r="Q385" i="3" l="1"/>
  <c r="H385" i="3"/>
  <c r="I385" i="3" l="1"/>
  <c r="C386" i="3"/>
  <c r="R385" i="3"/>
  <c r="K386" i="3" s="1"/>
  <c r="L386" i="3"/>
  <c r="F386" i="3" l="1"/>
  <c r="O386" i="3" s="1"/>
  <c r="J385" i="3"/>
  <c r="G386" i="3"/>
  <c r="P386" i="3" s="1"/>
  <c r="Q386" i="3" l="1"/>
  <c r="L387" i="3" s="1"/>
  <c r="H386" i="3"/>
  <c r="I386" i="3" l="1"/>
  <c r="C387" i="3"/>
  <c r="R386" i="3"/>
  <c r="K387" i="3" s="1"/>
  <c r="F387" i="3" l="1"/>
  <c r="O387" i="3" s="1"/>
  <c r="J386" i="3"/>
  <c r="G387" i="3"/>
  <c r="P387" i="3" s="1"/>
  <c r="Q387" i="3" l="1"/>
  <c r="H387" i="3"/>
  <c r="I387" i="3" l="1"/>
  <c r="C388" i="3"/>
  <c r="R387" i="3"/>
  <c r="K388" i="3" s="1"/>
  <c r="L388" i="3"/>
  <c r="F388" i="3" l="1"/>
  <c r="O388" i="3" s="1"/>
  <c r="J387" i="3"/>
  <c r="G388" i="3"/>
  <c r="P388" i="3" s="1"/>
  <c r="Q388" i="3" l="1"/>
  <c r="L389" i="3" s="1"/>
  <c r="H388" i="3"/>
  <c r="I388" i="3" l="1"/>
  <c r="C389" i="3"/>
  <c r="R388" i="3"/>
  <c r="K389" i="3" s="1"/>
  <c r="F389" i="3" l="1"/>
  <c r="O389" i="3" s="1"/>
  <c r="J388" i="3"/>
  <c r="G389" i="3"/>
  <c r="P389" i="3" s="1"/>
  <c r="Q389" i="3" l="1"/>
  <c r="L390" i="3" s="1"/>
  <c r="H389" i="3"/>
  <c r="I389" i="3" l="1"/>
  <c r="C390" i="3"/>
  <c r="R389" i="3"/>
  <c r="K390" i="3" s="1"/>
  <c r="F390" i="3" l="1"/>
  <c r="O390" i="3" s="1"/>
  <c r="J389" i="3"/>
  <c r="G390" i="3"/>
  <c r="P390" i="3" s="1"/>
  <c r="Q390" i="3" l="1"/>
  <c r="H390" i="3"/>
  <c r="I390" i="3" l="1"/>
  <c r="C391" i="3"/>
  <c r="R390" i="3"/>
  <c r="K391" i="3" s="1"/>
  <c r="L391" i="3"/>
  <c r="F391" i="3" l="1"/>
  <c r="O391" i="3" s="1"/>
  <c r="J390" i="3"/>
  <c r="G391" i="3"/>
  <c r="P391" i="3" s="1"/>
  <c r="Q391" i="3" l="1"/>
  <c r="L392" i="3" s="1"/>
  <c r="H391" i="3"/>
  <c r="I391" i="3" l="1"/>
  <c r="C392" i="3"/>
  <c r="R391" i="3"/>
  <c r="K392" i="3" s="1"/>
  <c r="F392" i="3" l="1"/>
  <c r="O392" i="3" s="1"/>
  <c r="J391" i="3"/>
  <c r="G392" i="3"/>
  <c r="P392" i="3" s="1"/>
  <c r="Q392" i="3" l="1"/>
  <c r="H392" i="3"/>
  <c r="I392" i="3" l="1"/>
  <c r="C393" i="3"/>
  <c r="R392" i="3"/>
  <c r="K393" i="3" s="1"/>
  <c r="L393" i="3"/>
  <c r="F393" i="3" l="1"/>
  <c r="O393" i="3" s="1"/>
  <c r="J392" i="3"/>
  <c r="G393" i="3"/>
  <c r="P393" i="3" s="1"/>
  <c r="Q393" i="3" l="1"/>
  <c r="L394" i="3" s="1"/>
  <c r="H393" i="3"/>
  <c r="I393" i="3" l="1"/>
  <c r="C394" i="3"/>
  <c r="R393" i="3"/>
  <c r="K394" i="3" s="1"/>
  <c r="F394" i="3" l="1"/>
  <c r="O394" i="3" s="1"/>
  <c r="J393" i="3"/>
  <c r="G394" i="3"/>
  <c r="P394" i="3" s="1"/>
  <c r="Q394" i="3" l="1"/>
  <c r="H394" i="3"/>
  <c r="I394" i="3" l="1"/>
  <c r="C395" i="3"/>
  <c r="R394" i="3"/>
  <c r="K395" i="3" s="1"/>
  <c r="L395" i="3"/>
  <c r="F395" i="3" l="1"/>
  <c r="O395" i="3" s="1"/>
  <c r="J394" i="3"/>
  <c r="G395" i="3"/>
  <c r="P395" i="3" s="1"/>
  <c r="Q395" i="3" l="1"/>
  <c r="L396" i="3" s="1"/>
  <c r="H395" i="3"/>
  <c r="I395" i="3" l="1"/>
  <c r="C396" i="3"/>
  <c r="R395" i="3"/>
  <c r="K396" i="3" s="1"/>
  <c r="F396" i="3" l="1"/>
  <c r="O396" i="3" s="1"/>
  <c r="J395" i="3"/>
  <c r="G396" i="3"/>
  <c r="P396" i="3" s="1"/>
  <c r="Q396" i="3" l="1"/>
  <c r="L397" i="3" s="1"/>
  <c r="H396" i="3"/>
  <c r="I396" i="3" l="1"/>
  <c r="C397" i="3"/>
  <c r="R396" i="3"/>
  <c r="K397" i="3" s="1"/>
  <c r="F397" i="3" l="1"/>
  <c r="O397" i="3" s="1"/>
  <c r="J396" i="3"/>
  <c r="G397" i="3"/>
  <c r="P397" i="3" s="1"/>
  <c r="Q397" i="3" l="1"/>
  <c r="H397" i="3"/>
  <c r="I397" i="3" l="1"/>
  <c r="C398" i="3"/>
  <c r="R397" i="3"/>
  <c r="K398" i="3" s="1"/>
  <c r="L398" i="3"/>
  <c r="F398" i="3" l="1"/>
  <c r="O398" i="3" s="1"/>
  <c r="J397" i="3"/>
  <c r="G398" i="3"/>
  <c r="P398" i="3" s="1"/>
  <c r="Q398" i="3" l="1"/>
  <c r="L399" i="3" s="1"/>
  <c r="H398" i="3"/>
  <c r="I398" i="3" l="1"/>
  <c r="C399" i="3"/>
  <c r="R398" i="3"/>
  <c r="K399" i="3" s="1"/>
  <c r="F399" i="3" l="1"/>
  <c r="O399" i="3" s="1"/>
  <c r="J398" i="3"/>
  <c r="G399" i="3"/>
  <c r="P399" i="3" s="1"/>
  <c r="Q399" i="3" l="1"/>
  <c r="H399" i="3"/>
  <c r="I399" i="3" l="1"/>
  <c r="C400" i="3"/>
  <c r="R399" i="3"/>
  <c r="K400" i="3" s="1"/>
  <c r="L400" i="3"/>
  <c r="F400" i="3" l="1"/>
  <c r="O400" i="3" s="1"/>
  <c r="J399" i="3"/>
  <c r="G400" i="3"/>
  <c r="P400" i="3" s="1"/>
  <c r="Q400" i="3" l="1"/>
  <c r="L401" i="3" s="1"/>
  <c r="H400" i="3"/>
  <c r="I400" i="3" l="1"/>
  <c r="C401" i="3"/>
  <c r="R400" i="3"/>
  <c r="K401" i="3" s="1"/>
  <c r="F401" i="3" l="1"/>
  <c r="O401" i="3" s="1"/>
  <c r="J400" i="3"/>
  <c r="G401" i="3"/>
  <c r="P401" i="3" s="1"/>
  <c r="Q401" i="3" l="1"/>
  <c r="H401" i="3"/>
  <c r="I401" i="3" l="1"/>
  <c r="C402" i="3"/>
  <c r="R401" i="3"/>
  <c r="K402" i="3" s="1"/>
  <c r="L402" i="3"/>
  <c r="F402" i="3" l="1"/>
  <c r="O402" i="3" s="1"/>
  <c r="G402" i="3"/>
  <c r="P402" i="3" s="1"/>
  <c r="J401" i="3"/>
  <c r="Q402" i="3" l="1"/>
  <c r="L403" i="3" s="1"/>
  <c r="H402" i="3"/>
  <c r="I402" i="3" l="1"/>
  <c r="C403" i="3"/>
  <c r="R402" i="3"/>
  <c r="K403" i="3" s="1"/>
  <c r="F403" i="3" l="1"/>
  <c r="O403" i="3" s="1"/>
  <c r="J402" i="3"/>
  <c r="G403" i="3"/>
  <c r="P403" i="3" s="1"/>
  <c r="Q403" i="3" l="1"/>
  <c r="H403" i="3"/>
  <c r="I403" i="3" l="1"/>
  <c r="C404" i="3"/>
  <c r="R403" i="3"/>
  <c r="K404" i="3" s="1"/>
  <c r="L404" i="3"/>
  <c r="F404" i="3" l="1"/>
  <c r="O404" i="3" s="1"/>
  <c r="G404" i="3"/>
  <c r="P404" i="3" s="1"/>
  <c r="J403" i="3"/>
  <c r="Q404" i="3" l="1"/>
  <c r="L405" i="3" s="1"/>
  <c r="H404" i="3"/>
  <c r="I404" i="3" l="1"/>
  <c r="C405" i="3"/>
  <c r="R404" i="3"/>
  <c r="K405" i="3" s="1"/>
  <c r="F405" i="3" l="1"/>
  <c r="O405" i="3" s="1"/>
  <c r="J404" i="3"/>
  <c r="G405" i="3"/>
  <c r="P405" i="3" s="1"/>
  <c r="Q405" i="3" l="1"/>
  <c r="H405" i="3"/>
  <c r="I405" i="3" l="1"/>
  <c r="C406" i="3"/>
  <c r="R405" i="3"/>
  <c r="K406" i="3" s="1"/>
  <c r="L406" i="3"/>
  <c r="F406" i="3" l="1"/>
  <c r="O406" i="3" s="1"/>
  <c r="J405" i="3"/>
  <c r="G406" i="3"/>
  <c r="P406" i="3" s="1"/>
  <c r="Q406" i="3" l="1"/>
  <c r="L407" i="3" s="1"/>
  <c r="H406" i="3"/>
  <c r="I406" i="3" l="1"/>
  <c r="C407" i="3"/>
  <c r="R406" i="3"/>
  <c r="K407" i="3" s="1"/>
  <c r="F407" i="3" l="1"/>
  <c r="O407" i="3" s="1"/>
  <c r="J406" i="3"/>
  <c r="G407" i="3"/>
  <c r="P407" i="3" s="1"/>
  <c r="Q407" i="3" l="1"/>
  <c r="H407" i="3"/>
  <c r="I407" i="3" l="1"/>
  <c r="C408" i="3"/>
  <c r="R407" i="3"/>
  <c r="K408" i="3" s="1"/>
  <c r="L408" i="3"/>
  <c r="F408" i="3" l="1"/>
  <c r="O408" i="3" s="1"/>
  <c r="J407" i="3"/>
  <c r="G408" i="3"/>
  <c r="P408" i="3" s="1"/>
  <c r="Q408" i="3" l="1"/>
  <c r="L409" i="3" s="1"/>
  <c r="H408" i="3"/>
  <c r="I408" i="3" l="1"/>
  <c r="C409" i="3"/>
  <c r="R408" i="3"/>
  <c r="K409" i="3" s="1"/>
  <c r="F409" i="3" l="1"/>
  <c r="O409" i="3" s="1"/>
  <c r="G409" i="3"/>
  <c r="P409" i="3" s="1"/>
  <c r="J408" i="3"/>
  <c r="Q409" i="3" l="1"/>
  <c r="H409" i="3"/>
  <c r="I409" i="3" l="1"/>
  <c r="C410" i="3"/>
  <c r="R409" i="3"/>
  <c r="K410" i="3" s="1"/>
  <c r="L410" i="3"/>
  <c r="F410" i="3" l="1"/>
  <c r="O410" i="3" s="1"/>
  <c r="J409" i="3"/>
  <c r="G410" i="3"/>
  <c r="P410" i="3" s="1"/>
  <c r="Q410" i="3" l="1"/>
  <c r="L411" i="3" s="1"/>
  <c r="H410" i="3"/>
  <c r="I410" i="3" l="1"/>
  <c r="C411" i="3"/>
  <c r="R410" i="3"/>
  <c r="K411" i="3" s="1"/>
  <c r="F411" i="3" l="1"/>
  <c r="O411" i="3" s="1"/>
  <c r="J410" i="3"/>
  <c r="G411" i="3"/>
  <c r="P411" i="3" s="1"/>
  <c r="Q411" i="3" l="1"/>
  <c r="H411" i="3"/>
  <c r="I411" i="3" l="1"/>
  <c r="C412" i="3"/>
  <c r="R411" i="3"/>
  <c r="K412" i="3" s="1"/>
  <c r="L412" i="3"/>
  <c r="F412" i="3" l="1"/>
  <c r="O412" i="3" s="1"/>
  <c r="J411" i="3"/>
  <c r="G412" i="3"/>
  <c r="P412" i="3" s="1"/>
  <c r="Q412" i="3" l="1"/>
  <c r="L413" i="3" s="1"/>
  <c r="H412" i="3"/>
  <c r="I412" i="3" l="1"/>
  <c r="C413" i="3"/>
  <c r="R412" i="3"/>
  <c r="K413" i="3" s="1"/>
  <c r="F413" i="3" l="1"/>
  <c r="O413" i="3" s="1"/>
  <c r="J412" i="3"/>
  <c r="G413" i="3"/>
  <c r="P413" i="3" s="1"/>
  <c r="Q413" i="3" l="1"/>
  <c r="H413" i="3"/>
  <c r="I413" i="3" l="1"/>
  <c r="C414" i="3"/>
  <c r="R413" i="3"/>
  <c r="K414" i="3" s="1"/>
  <c r="L414" i="3"/>
  <c r="F414" i="3" l="1"/>
  <c r="O414" i="3" s="1"/>
  <c r="G414" i="3"/>
  <c r="P414" i="3" s="1"/>
  <c r="J413" i="3"/>
  <c r="Q414" i="3" l="1"/>
  <c r="L415" i="3" s="1"/>
  <c r="H414" i="3"/>
  <c r="I414" i="3" l="1"/>
  <c r="C415" i="3"/>
  <c r="R414" i="3"/>
  <c r="K415" i="3" s="1"/>
  <c r="F415" i="3" l="1"/>
  <c r="O415" i="3" s="1"/>
  <c r="G415" i="3"/>
  <c r="P415" i="3" s="1"/>
  <c r="J414" i="3"/>
  <c r="Q415" i="3" l="1"/>
  <c r="H415" i="3"/>
  <c r="I415" i="3" l="1"/>
  <c r="C416" i="3"/>
  <c r="R415" i="3"/>
  <c r="K416" i="3" s="1"/>
  <c r="L416" i="3"/>
  <c r="F416" i="3" l="1"/>
  <c r="O416" i="3" s="1"/>
  <c r="J415" i="3"/>
  <c r="G416" i="3"/>
  <c r="P416" i="3" s="1"/>
  <c r="Q416" i="3" l="1"/>
  <c r="L417" i="3" s="1"/>
  <c r="H416" i="3"/>
  <c r="I416" i="3" l="1"/>
  <c r="C417" i="3"/>
  <c r="R416" i="3"/>
  <c r="K417" i="3" s="1"/>
  <c r="F417" i="3" l="1"/>
  <c r="O417" i="3" s="1"/>
  <c r="J416" i="3"/>
  <c r="G417" i="3"/>
  <c r="P417" i="3" s="1"/>
  <c r="Q417" i="3" l="1"/>
  <c r="H417" i="3"/>
  <c r="I417" i="3" l="1"/>
  <c r="C418" i="3"/>
  <c r="R417" i="3"/>
  <c r="K418" i="3" s="1"/>
  <c r="L418" i="3"/>
  <c r="F418" i="3" l="1"/>
  <c r="O418" i="3" s="1"/>
  <c r="J417" i="3"/>
  <c r="G418" i="3"/>
  <c r="P418" i="3" s="1"/>
  <c r="Q418" i="3" l="1"/>
  <c r="L419" i="3" s="1"/>
  <c r="H418" i="3"/>
  <c r="I418" i="3" l="1"/>
  <c r="C419" i="3"/>
  <c r="R418" i="3"/>
  <c r="K419" i="3" s="1"/>
  <c r="F419" i="3" l="1"/>
  <c r="O419" i="3" s="1"/>
  <c r="G419" i="3"/>
  <c r="P419" i="3" s="1"/>
  <c r="J418" i="3"/>
  <c r="Q419" i="3" l="1"/>
  <c r="H419" i="3"/>
  <c r="I419" i="3" l="1"/>
  <c r="C420" i="3"/>
  <c r="R419" i="3"/>
  <c r="K420" i="3" s="1"/>
  <c r="L420" i="3"/>
  <c r="F420" i="3" l="1"/>
  <c r="O420" i="3" s="1"/>
  <c r="J419" i="3"/>
  <c r="G420" i="3"/>
  <c r="P420" i="3" s="1"/>
  <c r="Q420" i="3" l="1"/>
  <c r="L421" i="3" s="1"/>
  <c r="H420" i="3"/>
  <c r="I420" i="3" l="1"/>
  <c r="C421" i="3"/>
  <c r="R420" i="3"/>
  <c r="K421" i="3" s="1"/>
  <c r="F421" i="3" l="1"/>
  <c r="O421" i="3" s="1"/>
  <c r="J420" i="3"/>
  <c r="G421" i="3"/>
  <c r="P421" i="3" s="1"/>
  <c r="Q421" i="3" l="1"/>
  <c r="H421" i="3"/>
  <c r="I421" i="3" l="1"/>
  <c r="C422" i="3"/>
  <c r="R421" i="3"/>
  <c r="K422" i="3" s="1"/>
  <c r="L422" i="3"/>
  <c r="F422" i="3" l="1"/>
  <c r="O422" i="3" s="1"/>
  <c r="J421" i="3"/>
  <c r="G422" i="3"/>
  <c r="P422" i="3" s="1"/>
  <c r="Q422" i="3" l="1"/>
  <c r="L423" i="3" s="1"/>
  <c r="H422" i="3"/>
  <c r="I422" i="3" l="1"/>
  <c r="C423" i="3"/>
  <c r="R422" i="3"/>
  <c r="K423" i="3" s="1"/>
  <c r="F423" i="3" l="1"/>
  <c r="O423" i="3" s="1"/>
  <c r="J422" i="3"/>
  <c r="G423" i="3"/>
  <c r="P423" i="3" s="1"/>
  <c r="Q423" i="3" l="1"/>
  <c r="H423" i="3"/>
  <c r="I423" i="3" l="1"/>
  <c r="C424" i="3"/>
  <c r="R423" i="3"/>
  <c r="K424" i="3" s="1"/>
  <c r="L424" i="3"/>
  <c r="F424" i="3" l="1"/>
  <c r="O424" i="3" s="1"/>
  <c r="J423" i="3"/>
  <c r="G424" i="3"/>
  <c r="P424" i="3" s="1"/>
  <c r="Q424" i="3" l="1"/>
  <c r="L425" i="3" s="1"/>
  <c r="H424" i="3"/>
  <c r="I424" i="3" l="1"/>
  <c r="C425" i="3"/>
  <c r="R424" i="3"/>
  <c r="K425" i="3" s="1"/>
  <c r="F425" i="3" l="1"/>
  <c r="O425" i="3" s="1"/>
  <c r="G425" i="3"/>
  <c r="P425" i="3" s="1"/>
  <c r="J424" i="3"/>
  <c r="Q425" i="3" l="1"/>
  <c r="H425" i="3"/>
  <c r="I425" i="3" l="1"/>
  <c r="C426" i="3"/>
  <c r="R425" i="3"/>
  <c r="K426" i="3" s="1"/>
  <c r="L426" i="3"/>
  <c r="F426" i="3" l="1"/>
  <c r="O426" i="3" s="1"/>
  <c r="J425" i="3"/>
  <c r="G426" i="3"/>
  <c r="P426" i="3" s="1"/>
  <c r="Q426" i="3" l="1"/>
  <c r="L427" i="3" s="1"/>
  <c r="H426" i="3"/>
  <c r="I426" i="3" l="1"/>
  <c r="C427" i="3"/>
  <c r="R426" i="3"/>
  <c r="K427" i="3" s="1"/>
  <c r="F427" i="3" l="1"/>
  <c r="O427" i="3" s="1"/>
  <c r="G427" i="3"/>
  <c r="P427" i="3" s="1"/>
  <c r="J426" i="3"/>
  <c r="Q427" i="3" l="1"/>
  <c r="H427" i="3"/>
  <c r="I427" i="3" l="1"/>
  <c r="C428" i="3"/>
  <c r="R427" i="3"/>
  <c r="K428" i="3" s="1"/>
  <c r="L428" i="3"/>
  <c r="F428" i="3" l="1"/>
  <c r="O428" i="3" s="1"/>
  <c r="J427" i="3"/>
  <c r="G428" i="3"/>
  <c r="P428" i="3" s="1"/>
  <c r="Q428" i="3" l="1"/>
  <c r="L429" i="3" s="1"/>
  <c r="H428" i="3"/>
  <c r="I428" i="3" l="1"/>
  <c r="C429" i="3"/>
  <c r="R428" i="3"/>
  <c r="K429" i="3" s="1"/>
  <c r="F429" i="3" l="1"/>
  <c r="O429" i="3" s="1"/>
  <c r="J428" i="3"/>
  <c r="G429" i="3"/>
  <c r="P429" i="3" s="1"/>
  <c r="Q429" i="3" l="1"/>
  <c r="H429" i="3"/>
  <c r="I429" i="3" l="1"/>
  <c r="C430" i="3"/>
  <c r="R429" i="3"/>
  <c r="K430" i="3" s="1"/>
  <c r="L430" i="3"/>
  <c r="F430" i="3" l="1"/>
  <c r="O430" i="3" s="1"/>
  <c r="J429" i="3"/>
  <c r="G430" i="3"/>
  <c r="P430" i="3" s="1"/>
  <c r="Q430" i="3" l="1"/>
  <c r="L431" i="3" s="1"/>
  <c r="H430" i="3"/>
  <c r="I430" i="3" l="1"/>
  <c r="C431" i="3"/>
  <c r="R430" i="3"/>
  <c r="K431" i="3" s="1"/>
  <c r="F431" i="3" l="1"/>
  <c r="O431" i="3" s="1"/>
  <c r="J430" i="3"/>
  <c r="G431" i="3"/>
  <c r="P431" i="3" s="1"/>
  <c r="Q431" i="3" l="1"/>
  <c r="H431" i="3"/>
  <c r="I431" i="3" l="1"/>
  <c r="C432" i="3"/>
  <c r="R431" i="3"/>
  <c r="K432" i="3" s="1"/>
  <c r="L432" i="3"/>
  <c r="F432" i="3" l="1"/>
  <c r="O432" i="3" s="1"/>
  <c r="J431" i="3"/>
  <c r="G432" i="3"/>
  <c r="P432" i="3" s="1"/>
  <c r="Q432" i="3" l="1"/>
  <c r="L433" i="3" s="1"/>
  <c r="H432" i="3"/>
  <c r="I432" i="3" l="1"/>
  <c r="C433" i="3"/>
  <c r="R432" i="3"/>
  <c r="K433" i="3" s="1"/>
  <c r="F433" i="3" l="1"/>
  <c r="O433" i="3" s="1"/>
  <c r="J432" i="3"/>
  <c r="G433" i="3"/>
  <c r="P433" i="3" s="1"/>
  <c r="Q433" i="3" l="1"/>
  <c r="H433" i="3"/>
  <c r="I433" i="3" l="1"/>
  <c r="C434" i="3"/>
  <c r="R433" i="3"/>
  <c r="K434" i="3" s="1"/>
  <c r="L434" i="3"/>
  <c r="F434" i="3" l="1"/>
  <c r="O434" i="3" s="1"/>
  <c r="J433" i="3"/>
  <c r="G434" i="3"/>
  <c r="P434" i="3" s="1"/>
  <c r="Q434" i="3" l="1"/>
  <c r="L435" i="3" s="1"/>
  <c r="H434" i="3"/>
  <c r="I434" i="3" l="1"/>
  <c r="C435" i="3"/>
  <c r="R434" i="3"/>
  <c r="K435" i="3" s="1"/>
  <c r="F435" i="3" l="1"/>
  <c r="O435" i="3" s="1"/>
  <c r="J434" i="3"/>
  <c r="G435" i="3"/>
  <c r="P435" i="3" s="1"/>
  <c r="Q435" i="3" l="1"/>
  <c r="H435" i="3"/>
  <c r="I435" i="3" l="1"/>
  <c r="C436" i="3"/>
  <c r="R435" i="3"/>
  <c r="K436" i="3" s="1"/>
  <c r="L436" i="3"/>
  <c r="F436" i="3" l="1"/>
  <c r="O436" i="3" s="1"/>
  <c r="J435" i="3"/>
  <c r="G436" i="3"/>
  <c r="P436" i="3" s="1"/>
  <c r="Q436" i="3" l="1"/>
  <c r="L437" i="3" s="1"/>
  <c r="H436" i="3"/>
  <c r="I436" i="3" l="1"/>
  <c r="C437" i="3"/>
  <c r="R436" i="3"/>
  <c r="K437" i="3" s="1"/>
  <c r="F437" i="3" l="1"/>
  <c r="O437" i="3" s="1"/>
  <c r="J436" i="3"/>
  <c r="G437" i="3"/>
  <c r="P437" i="3" s="1"/>
  <c r="Q437" i="3" l="1"/>
  <c r="H437" i="3"/>
  <c r="I437" i="3" l="1"/>
  <c r="C438" i="3"/>
  <c r="R437" i="3"/>
  <c r="K438" i="3" s="1"/>
  <c r="L438" i="3"/>
  <c r="F438" i="3" l="1"/>
  <c r="O438" i="3" s="1"/>
  <c r="J437" i="3"/>
  <c r="G438" i="3"/>
  <c r="P438" i="3" s="1"/>
  <c r="Q438" i="3" l="1"/>
  <c r="L439" i="3" s="1"/>
  <c r="H438" i="3"/>
  <c r="I438" i="3" l="1"/>
  <c r="C439" i="3"/>
  <c r="R438" i="3"/>
  <c r="K439" i="3" s="1"/>
  <c r="F439" i="3" l="1"/>
  <c r="O439" i="3" s="1"/>
  <c r="J438" i="3"/>
  <c r="G439" i="3"/>
  <c r="P439" i="3" s="1"/>
  <c r="Q439" i="3" l="1"/>
  <c r="H439" i="3"/>
  <c r="I439" i="3" l="1"/>
  <c r="C440" i="3"/>
  <c r="R439" i="3"/>
  <c r="K440" i="3" s="1"/>
  <c r="L440" i="3"/>
  <c r="F440" i="3" l="1"/>
  <c r="O440" i="3" s="1"/>
  <c r="J439" i="3"/>
  <c r="G440" i="3"/>
  <c r="P440" i="3" s="1"/>
  <c r="Q440" i="3" l="1"/>
  <c r="L441" i="3" s="1"/>
  <c r="H440" i="3"/>
  <c r="I440" i="3" l="1"/>
  <c r="C441" i="3"/>
  <c r="R440" i="3"/>
  <c r="K441" i="3" s="1"/>
  <c r="F441" i="3" l="1"/>
  <c r="O441" i="3" s="1"/>
  <c r="J440" i="3"/>
  <c r="G441" i="3"/>
  <c r="P441" i="3" s="1"/>
  <c r="Q441" i="3" l="1"/>
  <c r="H441" i="3"/>
  <c r="I441" i="3" l="1"/>
  <c r="C442" i="3"/>
  <c r="R441" i="3"/>
  <c r="K442" i="3" s="1"/>
  <c r="L442" i="3"/>
  <c r="F442" i="3" l="1"/>
  <c r="O442" i="3" s="1"/>
  <c r="J441" i="3"/>
  <c r="G442" i="3"/>
  <c r="P442" i="3" s="1"/>
  <c r="Q442" i="3" l="1"/>
  <c r="L443" i="3" s="1"/>
  <c r="H442" i="3"/>
  <c r="I442" i="3" l="1"/>
  <c r="C443" i="3"/>
  <c r="R442" i="3"/>
  <c r="K443" i="3" s="1"/>
  <c r="F443" i="3" l="1"/>
  <c r="O443" i="3" s="1"/>
  <c r="J442" i="3"/>
  <c r="G443" i="3"/>
  <c r="P443" i="3" s="1"/>
  <c r="Q443" i="3" l="1"/>
  <c r="H443" i="3"/>
  <c r="I443" i="3" l="1"/>
  <c r="C444" i="3"/>
  <c r="R443" i="3"/>
  <c r="K444" i="3" s="1"/>
  <c r="L444" i="3"/>
  <c r="F444" i="3" l="1"/>
  <c r="O444" i="3" s="1"/>
  <c r="J443" i="3"/>
  <c r="G444" i="3"/>
  <c r="P444" i="3" s="1"/>
  <c r="Q444" i="3" l="1"/>
  <c r="L445" i="3" s="1"/>
  <c r="H444" i="3"/>
  <c r="I444" i="3" l="1"/>
  <c r="C445" i="3"/>
  <c r="R444" i="3"/>
  <c r="K445" i="3" s="1"/>
  <c r="F445" i="3" l="1"/>
  <c r="O445" i="3" s="1"/>
  <c r="J444" i="3"/>
  <c r="G445" i="3"/>
  <c r="P445" i="3" s="1"/>
  <c r="Q445" i="3" l="1"/>
  <c r="H445" i="3"/>
  <c r="I445" i="3" l="1"/>
  <c r="C446" i="3"/>
  <c r="R445" i="3"/>
  <c r="K446" i="3" s="1"/>
  <c r="L446" i="3"/>
  <c r="F446" i="3" l="1"/>
  <c r="O446" i="3" s="1"/>
  <c r="J445" i="3"/>
  <c r="G446" i="3"/>
  <c r="P446" i="3" s="1"/>
  <c r="Q446" i="3" l="1"/>
  <c r="L447" i="3" s="1"/>
  <c r="H446" i="3"/>
  <c r="I446" i="3" l="1"/>
  <c r="C447" i="3"/>
  <c r="R446" i="3"/>
  <c r="K447" i="3" s="1"/>
  <c r="F447" i="3" l="1"/>
  <c r="O447" i="3" s="1"/>
  <c r="J446" i="3"/>
  <c r="G447" i="3"/>
  <c r="P447" i="3" s="1"/>
  <c r="Q447" i="3" l="1"/>
  <c r="H447" i="3"/>
  <c r="I447" i="3" l="1"/>
  <c r="C448" i="3"/>
  <c r="R447" i="3"/>
  <c r="K448" i="3" s="1"/>
  <c r="L448" i="3"/>
  <c r="F448" i="3" l="1"/>
  <c r="O448" i="3" s="1"/>
  <c r="J447" i="3"/>
  <c r="G448" i="3"/>
  <c r="P448" i="3" s="1"/>
  <c r="Q448" i="3" l="1"/>
  <c r="L449" i="3" s="1"/>
  <c r="H448" i="3"/>
  <c r="I448" i="3" l="1"/>
  <c r="C449" i="3"/>
  <c r="R448" i="3"/>
  <c r="K449" i="3" s="1"/>
  <c r="F449" i="3" l="1"/>
  <c r="O449" i="3" s="1"/>
  <c r="J448" i="3"/>
  <c r="G449" i="3"/>
  <c r="P449" i="3" s="1"/>
  <c r="Q449" i="3" l="1"/>
  <c r="H449" i="3"/>
  <c r="I449" i="3" l="1"/>
  <c r="C450" i="3"/>
  <c r="R449" i="3"/>
  <c r="K450" i="3" s="1"/>
  <c r="L450" i="3"/>
  <c r="F450" i="3" l="1"/>
  <c r="O450" i="3" s="1"/>
  <c r="J449" i="3"/>
  <c r="G450" i="3"/>
  <c r="P450" i="3" s="1"/>
  <c r="Q450" i="3" l="1"/>
  <c r="L451" i="3" s="1"/>
  <c r="H450" i="3"/>
  <c r="I450" i="3" l="1"/>
  <c r="C451" i="3"/>
  <c r="R450" i="3"/>
  <c r="K451" i="3" s="1"/>
  <c r="F451" i="3" l="1"/>
  <c r="O451" i="3" s="1"/>
  <c r="J450" i="3"/>
  <c r="G451" i="3"/>
  <c r="P451" i="3" s="1"/>
  <c r="Q451" i="3" l="1"/>
  <c r="H451" i="3"/>
  <c r="I451" i="3" l="1"/>
  <c r="C452" i="3"/>
  <c r="R451" i="3"/>
  <c r="K452" i="3" s="1"/>
  <c r="L452" i="3"/>
  <c r="F452" i="3" l="1"/>
  <c r="O452" i="3" s="1"/>
  <c r="J451" i="3"/>
  <c r="G452" i="3"/>
  <c r="P452" i="3" s="1"/>
  <c r="Q452" i="3" l="1"/>
  <c r="L453" i="3" s="1"/>
  <c r="H452" i="3"/>
  <c r="I452" i="3" l="1"/>
  <c r="C453" i="3"/>
  <c r="R452" i="3"/>
  <c r="K453" i="3" s="1"/>
  <c r="F453" i="3" l="1"/>
  <c r="O453" i="3" s="1"/>
  <c r="J452" i="3"/>
  <c r="G453" i="3"/>
  <c r="P453" i="3" s="1"/>
  <c r="Q453" i="3" l="1"/>
  <c r="H453" i="3"/>
  <c r="I453" i="3" l="1"/>
  <c r="C454" i="3"/>
  <c r="R453" i="3"/>
  <c r="K454" i="3" s="1"/>
  <c r="L454" i="3"/>
  <c r="F454" i="3" l="1"/>
  <c r="O454" i="3" s="1"/>
  <c r="J453" i="3"/>
  <c r="G454" i="3"/>
  <c r="P454" i="3" s="1"/>
  <c r="Q454" i="3" l="1"/>
  <c r="L455" i="3" s="1"/>
  <c r="H454" i="3"/>
  <c r="I454" i="3" l="1"/>
  <c r="C455" i="3"/>
  <c r="R454" i="3"/>
  <c r="K455" i="3" s="1"/>
  <c r="F455" i="3" l="1"/>
  <c r="O455" i="3" s="1"/>
  <c r="J454" i="3"/>
  <c r="G455" i="3"/>
  <c r="P455" i="3" s="1"/>
  <c r="Q455" i="3" l="1"/>
  <c r="H455" i="3"/>
  <c r="I455" i="3" l="1"/>
  <c r="C456" i="3"/>
  <c r="R455" i="3"/>
  <c r="K456" i="3" s="1"/>
  <c r="L456" i="3"/>
  <c r="F456" i="3" l="1"/>
  <c r="O456" i="3" s="1"/>
  <c r="J455" i="3"/>
  <c r="G456" i="3"/>
  <c r="P456" i="3" s="1"/>
  <c r="Q456" i="3" l="1"/>
  <c r="L457" i="3" s="1"/>
  <c r="H456" i="3"/>
  <c r="I456" i="3" l="1"/>
  <c r="C457" i="3"/>
  <c r="R456" i="3"/>
  <c r="K457" i="3" s="1"/>
  <c r="F457" i="3" l="1"/>
  <c r="O457" i="3" s="1"/>
  <c r="G457" i="3"/>
  <c r="P457" i="3" s="1"/>
  <c r="J456" i="3"/>
  <c r="Q457" i="3" l="1"/>
  <c r="H457" i="3"/>
  <c r="I457" i="3" l="1"/>
  <c r="C458" i="3"/>
  <c r="R457" i="3"/>
  <c r="K458" i="3" s="1"/>
  <c r="L458" i="3"/>
  <c r="F458" i="3" l="1"/>
  <c r="O458" i="3" s="1"/>
  <c r="G458" i="3"/>
  <c r="P458" i="3" s="1"/>
  <c r="J457" i="3"/>
  <c r="Q458" i="3" l="1"/>
  <c r="L459" i="3" s="1"/>
  <c r="H458" i="3"/>
  <c r="I458" i="3" l="1"/>
  <c r="C459" i="3"/>
  <c r="R458" i="3"/>
  <c r="K459" i="3" s="1"/>
  <c r="F459" i="3" l="1"/>
  <c r="O459" i="3" s="1"/>
  <c r="J458" i="3"/>
  <c r="G459" i="3"/>
  <c r="P459" i="3" s="1"/>
  <c r="Q459" i="3" l="1"/>
  <c r="H459" i="3"/>
  <c r="I459" i="3" l="1"/>
  <c r="C460" i="3"/>
  <c r="R459" i="3"/>
  <c r="K460" i="3" s="1"/>
  <c r="L460" i="3"/>
  <c r="F460" i="3" l="1"/>
  <c r="O460" i="3" s="1"/>
  <c r="J459" i="3"/>
  <c r="G460" i="3"/>
  <c r="P460" i="3" s="1"/>
  <c r="Q460" i="3" l="1"/>
  <c r="L461" i="3" s="1"/>
  <c r="H460" i="3"/>
  <c r="I460" i="3" l="1"/>
  <c r="C461" i="3"/>
  <c r="R460" i="3"/>
  <c r="K461" i="3" s="1"/>
  <c r="F461" i="3" l="1"/>
  <c r="O461" i="3" s="1"/>
  <c r="J460" i="3"/>
  <c r="G461" i="3"/>
  <c r="P461" i="3" s="1"/>
  <c r="Q461" i="3" l="1"/>
  <c r="H461" i="3"/>
  <c r="I461" i="3" l="1"/>
  <c r="C462" i="3"/>
  <c r="R461" i="3"/>
  <c r="K462" i="3" s="1"/>
  <c r="L462" i="3"/>
  <c r="F462" i="3" l="1"/>
  <c r="O462" i="3" s="1"/>
  <c r="G462" i="3"/>
  <c r="P462" i="3" s="1"/>
  <c r="J461" i="3"/>
  <c r="Q462" i="3" l="1"/>
  <c r="L463" i="3" s="1"/>
  <c r="H462" i="3"/>
  <c r="I462" i="3" l="1"/>
  <c r="C463" i="3"/>
  <c r="R462" i="3"/>
  <c r="K463" i="3" s="1"/>
  <c r="F463" i="3" l="1"/>
  <c r="O463" i="3" s="1"/>
  <c r="J462" i="3"/>
  <c r="G463" i="3"/>
  <c r="P463" i="3" s="1"/>
  <c r="Q463" i="3" l="1"/>
  <c r="H463" i="3"/>
  <c r="I463" i="3" l="1"/>
  <c r="C464" i="3"/>
  <c r="R463" i="3"/>
  <c r="K464" i="3" s="1"/>
  <c r="L464" i="3"/>
  <c r="F464" i="3" l="1"/>
  <c r="O464" i="3" s="1"/>
  <c r="J463" i="3"/>
  <c r="G464" i="3"/>
  <c r="P464" i="3" s="1"/>
  <c r="Q464" i="3" l="1"/>
  <c r="L465" i="3" s="1"/>
  <c r="H464" i="3"/>
  <c r="I464" i="3" l="1"/>
  <c r="C465" i="3"/>
  <c r="R464" i="3"/>
  <c r="K465" i="3" s="1"/>
  <c r="F465" i="3" l="1"/>
  <c r="O465" i="3" s="1"/>
  <c r="J464" i="3"/>
  <c r="G465" i="3"/>
  <c r="P465" i="3" s="1"/>
  <c r="Q465" i="3" l="1"/>
  <c r="H465" i="3"/>
  <c r="I465" i="3" l="1"/>
  <c r="C466" i="3"/>
  <c r="R465" i="3"/>
  <c r="K466" i="3" s="1"/>
  <c r="L466" i="3"/>
  <c r="F466" i="3" l="1"/>
  <c r="O466" i="3" s="1"/>
  <c r="J465" i="3"/>
  <c r="G466" i="3"/>
  <c r="P466" i="3" s="1"/>
  <c r="Q466" i="3" l="1"/>
  <c r="L467" i="3" s="1"/>
  <c r="H466" i="3"/>
  <c r="I466" i="3" l="1"/>
  <c r="C467" i="3"/>
  <c r="R466" i="3"/>
  <c r="K467" i="3" s="1"/>
  <c r="F467" i="3" l="1"/>
  <c r="O467" i="3" s="1"/>
  <c r="G467" i="3"/>
  <c r="P467" i="3" s="1"/>
  <c r="J466" i="3"/>
  <c r="Q467" i="3" l="1"/>
  <c r="H467" i="3"/>
  <c r="I467" i="3" l="1"/>
  <c r="C468" i="3"/>
  <c r="R467" i="3"/>
  <c r="K468" i="3" s="1"/>
  <c r="L468" i="3"/>
  <c r="F468" i="3" l="1"/>
  <c r="O468" i="3" s="1"/>
  <c r="J467" i="3"/>
  <c r="G468" i="3"/>
  <c r="P468" i="3" s="1"/>
  <c r="Q468" i="3" l="1"/>
  <c r="L469" i="3" s="1"/>
  <c r="H468" i="3"/>
  <c r="I468" i="3" l="1"/>
  <c r="C469" i="3"/>
  <c r="R468" i="3"/>
  <c r="K469" i="3" s="1"/>
  <c r="F469" i="3" l="1"/>
  <c r="O469" i="3" s="1"/>
  <c r="J468" i="3"/>
  <c r="G469" i="3"/>
  <c r="P469" i="3" s="1"/>
  <c r="Q469" i="3" l="1"/>
  <c r="H469" i="3"/>
  <c r="I469" i="3" l="1"/>
  <c r="C470" i="3"/>
  <c r="R469" i="3"/>
  <c r="K470" i="3" s="1"/>
  <c r="L470" i="3"/>
  <c r="F470" i="3" l="1"/>
  <c r="O470" i="3" s="1"/>
  <c r="J469" i="3"/>
  <c r="G470" i="3"/>
  <c r="P470" i="3" s="1"/>
  <c r="Q470" i="3" l="1"/>
  <c r="L471" i="3" s="1"/>
  <c r="H470" i="3"/>
  <c r="I470" i="3" l="1"/>
  <c r="C471" i="3"/>
  <c r="R470" i="3"/>
  <c r="K471" i="3" s="1"/>
  <c r="F471" i="3" l="1"/>
  <c r="O471" i="3" s="1"/>
  <c r="J470" i="3"/>
  <c r="G471" i="3"/>
  <c r="P471" i="3" s="1"/>
  <c r="Q471" i="3" l="1"/>
  <c r="H471" i="3"/>
  <c r="I471" i="3" l="1"/>
  <c r="C472" i="3"/>
  <c r="R471" i="3"/>
  <c r="K472" i="3" s="1"/>
  <c r="L472" i="3"/>
  <c r="F472" i="3" l="1"/>
  <c r="O472" i="3" s="1"/>
  <c r="J471" i="3"/>
  <c r="G472" i="3"/>
  <c r="P472" i="3" s="1"/>
  <c r="Q472" i="3" l="1"/>
  <c r="L473" i="3" s="1"/>
  <c r="H472" i="3"/>
  <c r="I472" i="3" l="1"/>
  <c r="C473" i="3"/>
  <c r="R472" i="3"/>
  <c r="K473" i="3" s="1"/>
  <c r="F473" i="3" l="1"/>
  <c r="O473" i="3" s="1"/>
  <c r="J472" i="3"/>
  <c r="G473" i="3"/>
  <c r="P473" i="3" s="1"/>
  <c r="Q473" i="3" l="1"/>
  <c r="H473" i="3"/>
  <c r="I473" i="3" l="1"/>
  <c r="C474" i="3"/>
  <c r="R473" i="3"/>
  <c r="K474" i="3" s="1"/>
  <c r="L474" i="3"/>
  <c r="F474" i="3" l="1"/>
  <c r="O474" i="3" s="1"/>
  <c r="G474" i="3"/>
  <c r="P474" i="3" s="1"/>
  <c r="J473" i="3"/>
  <c r="Q474" i="3" l="1"/>
  <c r="L475" i="3" s="1"/>
  <c r="H474" i="3"/>
  <c r="I474" i="3" l="1"/>
  <c r="C475" i="3"/>
  <c r="R474" i="3"/>
  <c r="K475" i="3" s="1"/>
  <c r="F475" i="3" l="1"/>
  <c r="O475" i="3" s="1"/>
  <c r="J474" i="3"/>
  <c r="G475" i="3"/>
  <c r="P475" i="3" s="1"/>
  <c r="Q475" i="3" l="1"/>
  <c r="H475" i="3"/>
  <c r="I475" i="3" l="1"/>
  <c r="C476" i="3"/>
  <c r="R475" i="3"/>
  <c r="K476" i="3" s="1"/>
  <c r="L476" i="3"/>
  <c r="F476" i="3" l="1"/>
  <c r="O476" i="3" s="1"/>
  <c r="G476" i="3"/>
  <c r="P476" i="3" s="1"/>
  <c r="J475" i="3"/>
  <c r="Q476" i="3" l="1"/>
  <c r="L477" i="3" s="1"/>
  <c r="H476" i="3"/>
  <c r="I476" i="3" l="1"/>
  <c r="C477" i="3"/>
  <c r="R476" i="3"/>
  <c r="K477" i="3" s="1"/>
  <c r="F477" i="3" l="1"/>
  <c r="O477" i="3" s="1"/>
  <c r="J476" i="3"/>
  <c r="G477" i="3"/>
  <c r="P477" i="3" s="1"/>
  <c r="Q477" i="3" l="1"/>
  <c r="H477" i="3"/>
  <c r="I477" i="3" l="1"/>
  <c r="C478" i="3"/>
  <c r="R477" i="3"/>
  <c r="K478" i="3" s="1"/>
  <c r="L478" i="3"/>
  <c r="F478" i="3" l="1"/>
  <c r="O478" i="3" s="1"/>
  <c r="J477" i="3"/>
  <c r="G478" i="3"/>
  <c r="P478" i="3" s="1"/>
  <c r="Q478" i="3" l="1"/>
  <c r="L479" i="3" s="1"/>
  <c r="H478" i="3"/>
  <c r="I478" i="3" l="1"/>
  <c r="C479" i="3"/>
  <c r="R478" i="3"/>
  <c r="K479" i="3" s="1"/>
  <c r="F479" i="3" l="1"/>
  <c r="O479" i="3" s="1"/>
  <c r="J478" i="3"/>
  <c r="G479" i="3"/>
  <c r="P479" i="3" s="1"/>
  <c r="Q479" i="3" l="1"/>
  <c r="H479" i="3"/>
  <c r="I479" i="3" l="1"/>
  <c r="C480" i="3"/>
  <c r="R479" i="3"/>
  <c r="K480" i="3" s="1"/>
  <c r="L480" i="3"/>
  <c r="F480" i="3" l="1"/>
  <c r="O480" i="3" s="1"/>
  <c r="J479" i="3"/>
  <c r="G480" i="3"/>
  <c r="P480" i="3" s="1"/>
  <c r="Q480" i="3" l="1"/>
  <c r="L481" i="3" s="1"/>
  <c r="H480" i="3"/>
  <c r="I480" i="3" l="1"/>
  <c r="C481" i="3"/>
  <c r="R480" i="3"/>
  <c r="K481" i="3" s="1"/>
  <c r="F481" i="3" l="1"/>
  <c r="O481" i="3" s="1"/>
  <c r="J480" i="3"/>
  <c r="G481" i="3"/>
  <c r="P481" i="3" s="1"/>
  <c r="Q481" i="3" l="1"/>
  <c r="H481" i="3"/>
  <c r="I481" i="3" l="1"/>
  <c r="C482" i="3"/>
  <c r="R481" i="3"/>
  <c r="K482" i="3" s="1"/>
  <c r="L482" i="3"/>
  <c r="F482" i="3" l="1"/>
  <c r="O482" i="3" s="1"/>
  <c r="J481" i="3"/>
  <c r="G482" i="3"/>
  <c r="P482" i="3" s="1"/>
  <c r="Q482" i="3" l="1"/>
  <c r="L483" i="3" s="1"/>
  <c r="H482" i="3"/>
  <c r="I482" i="3" l="1"/>
  <c r="C483" i="3"/>
  <c r="R482" i="3"/>
  <c r="K483" i="3" s="1"/>
  <c r="F483" i="3" l="1"/>
  <c r="O483" i="3" s="1"/>
  <c r="J482" i="3"/>
  <c r="G483" i="3"/>
  <c r="P483" i="3" s="1"/>
  <c r="Q483" i="3" l="1"/>
  <c r="H483" i="3"/>
  <c r="I483" i="3" l="1"/>
  <c r="C484" i="3"/>
  <c r="R483" i="3"/>
  <c r="K484" i="3" s="1"/>
  <c r="L484" i="3"/>
  <c r="F484" i="3" l="1"/>
  <c r="O484" i="3" s="1"/>
  <c r="J483" i="3"/>
  <c r="G484" i="3"/>
  <c r="P484" i="3" s="1"/>
  <c r="Q484" i="3" l="1"/>
  <c r="L485" i="3" s="1"/>
  <c r="H484" i="3"/>
  <c r="I484" i="3" l="1"/>
  <c r="C485" i="3"/>
  <c r="R484" i="3"/>
  <c r="K485" i="3" s="1"/>
  <c r="F485" i="3" l="1"/>
  <c r="O485" i="3" s="1"/>
  <c r="J484" i="3"/>
  <c r="G485" i="3"/>
  <c r="P485" i="3" s="1"/>
  <c r="Q485" i="3" l="1"/>
  <c r="H485" i="3"/>
  <c r="I485" i="3" l="1"/>
  <c r="C486" i="3"/>
  <c r="R485" i="3"/>
  <c r="K486" i="3" s="1"/>
  <c r="L486" i="3"/>
  <c r="F486" i="3" l="1"/>
  <c r="O486" i="3" s="1"/>
  <c r="J485" i="3"/>
  <c r="G486" i="3"/>
  <c r="P486" i="3" s="1"/>
  <c r="Q486" i="3" l="1"/>
  <c r="L487" i="3" s="1"/>
  <c r="H486" i="3"/>
  <c r="I486" i="3" l="1"/>
  <c r="C487" i="3"/>
  <c r="R486" i="3"/>
  <c r="K487" i="3" s="1"/>
  <c r="F487" i="3" l="1"/>
  <c r="O487" i="3" s="1"/>
  <c r="J486" i="3"/>
  <c r="G487" i="3"/>
  <c r="P487" i="3" s="1"/>
  <c r="Q487" i="3" l="1"/>
  <c r="H487" i="3"/>
  <c r="I487" i="3" l="1"/>
  <c r="C488" i="3"/>
  <c r="R487" i="3"/>
  <c r="K488" i="3" s="1"/>
  <c r="L488" i="3"/>
  <c r="F488" i="3" l="1"/>
  <c r="O488" i="3" s="1"/>
  <c r="J487" i="3"/>
  <c r="G488" i="3"/>
  <c r="P488" i="3" s="1"/>
  <c r="Q488" i="3" l="1"/>
  <c r="L489" i="3" s="1"/>
  <c r="H488" i="3"/>
  <c r="I488" i="3" l="1"/>
  <c r="C489" i="3"/>
  <c r="R488" i="3"/>
  <c r="K489" i="3" s="1"/>
  <c r="F489" i="3" l="1"/>
  <c r="O489" i="3" s="1"/>
  <c r="J488" i="3"/>
  <c r="G489" i="3"/>
  <c r="P489" i="3" s="1"/>
  <c r="Q489" i="3" l="1"/>
  <c r="H489" i="3"/>
  <c r="I489" i="3" l="1"/>
  <c r="C490" i="3"/>
  <c r="R489" i="3"/>
  <c r="K490" i="3" s="1"/>
  <c r="L490" i="3"/>
  <c r="F490" i="3" l="1"/>
  <c r="O490" i="3" s="1"/>
  <c r="J489" i="3"/>
  <c r="G490" i="3"/>
  <c r="P490" i="3" s="1"/>
  <c r="Q490" i="3" l="1"/>
  <c r="L491" i="3" s="1"/>
  <c r="H490" i="3"/>
  <c r="I490" i="3" l="1"/>
  <c r="C491" i="3"/>
  <c r="R490" i="3"/>
  <c r="K491" i="3" s="1"/>
  <c r="F491" i="3" l="1"/>
  <c r="O491" i="3" s="1"/>
  <c r="J490" i="3"/>
  <c r="G491" i="3"/>
  <c r="P491" i="3" s="1"/>
  <c r="Q491" i="3" l="1"/>
  <c r="H491" i="3"/>
  <c r="I491" i="3" l="1"/>
  <c r="C492" i="3"/>
  <c r="R491" i="3"/>
  <c r="K492" i="3" s="1"/>
  <c r="L492" i="3"/>
  <c r="F492" i="3" l="1"/>
  <c r="O492" i="3" s="1"/>
  <c r="J491" i="3"/>
  <c r="G492" i="3"/>
  <c r="P492" i="3" s="1"/>
  <c r="Q492" i="3" l="1"/>
  <c r="L493" i="3" s="1"/>
  <c r="H492" i="3"/>
  <c r="I492" i="3" l="1"/>
  <c r="C493" i="3"/>
  <c r="R492" i="3"/>
  <c r="K493" i="3" s="1"/>
  <c r="F493" i="3" l="1"/>
  <c r="O493" i="3" s="1"/>
  <c r="J492" i="3"/>
  <c r="G493" i="3"/>
  <c r="P493" i="3" s="1"/>
  <c r="Q493" i="3" l="1"/>
  <c r="H493" i="3"/>
  <c r="I493" i="3" l="1"/>
  <c r="C494" i="3"/>
  <c r="R493" i="3"/>
  <c r="K494" i="3" s="1"/>
  <c r="L494" i="3"/>
  <c r="F494" i="3" l="1"/>
  <c r="O494" i="3" s="1"/>
  <c r="J493" i="3"/>
  <c r="G494" i="3"/>
  <c r="P494" i="3" s="1"/>
  <c r="Q494" i="3" l="1"/>
  <c r="L495" i="3" s="1"/>
  <c r="H494" i="3"/>
  <c r="I494" i="3" l="1"/>
  <c r="C495" i="3"/>
  <c r="R494" i="3"/>
  <c r="K495" i="3" s="1"/>
  <c r="F495" i="3" l="1"/>
  <c r="O495" i="3" s="1"/>
  <c r="J494" i="3"/>
  <c r="G495" i="3"/>
  <c r="P495" i="3" s="1"/>
  <c r="Q495" i="3" l="1"/>
  <c r="H495" i="3"/>
  <c r="I495" i="3" l="1"/>
  <c r="C496" i="3"/>
  <c r="R495" i="3"/>
  <c r="K496" i="3" s="1"/>
  <c r="L496" i="3"/>
  <c r="F496" i="3" l="1"/>
  <c r="O496" i="3" s="1"/>
  <c r="G496" i="3"/>
  <c r="P496" i="3" s="1"/>
  <c r="J495" i="3"/>
  <c r="Q496" i="3" l="1"/>
  <c r="L497" i="3" s="1"/>
  <c r="H496" i="3"/>
  <c r="R496" i="3" l="1"/>
  <c r="K497" i="3" s="1"/>
  <c r="I496" i="3"/>
  <c r="C497" i="3"/>
  <c r="F497" i="3" l="1"/>
  <c r="O497" i="3" s="1"/>
  <c r="J496" i="3"/>
  <c r="G497" i="3"/>
  <c r="P497" i="3" s="1"/>
  <c r="Q497" i="3" l="1"/>
  <c r="H497" i="3"/>
  <c r="I497" i="3" l="1"/>
  <c r="C498" i="3"/>
  <c r="R497" i="3"/>
  <c r="K498" i="3" s="1"/>
  <c r="L498" i="3"/>
  <c r="F498" i="3" l="1"/>
  <c r="O498" i="3" s="1"/>
  <c r="J497" i="3"/>
  <c r="G498" i="3"/>
  <c r="P498" i="3" s="1"/>
  <c r="Q498" i="3" l="1"/>
  <c r="L499" i="3" s="1"/>
  <c r="H498" i="3"/>
  <c r="I498" i="3" l="1"/>
  <c r="C499" i="3"/>
  <c r="R498" i="3"/>
  <c r="K499" i="3" s="1"/>
  <c r="F499" i="3" l="1"/>
  <c r="O499" i="3" s="1"/>
  <c r="J498" i="3"/>
  <c r="G499" i="3"/>
  <c r="P499" i="3" s="1"/>
  <c r="Q499" i="3" l="1"/>
  <c r="H499" i="3"/>
  <c r="I499" i="3" l="1"/>
  <c r="C500" i="3"/>
  <c r="R499" i="3"/>
  <c r="K500" i="3" s="1"/>
  <c r="L500" i="3"/>
  <c r="F500" i="3" l="1"/>
  <c r="O500" i="3" s="1"/>
  <c r="G500" i="3"/>
  <c r="P500" i="3" s="1"/>
  <c r="J499" i="3"/>
  <c r="Q500" i="3" l="1"/>
  <c r="L501" i="3" s="1"/>
  <c r="H500" i="3"/>
  <c r="I500" i="3" l="1"/>
  <c r="C501" i="3"/>
  <c r="R500" i="3"/>
  <c r="K501" i="3" s="1"/>
  <c r="F501" i="3" l="1"/>
  <c r="O501" i="3" s="1"/>
  <c r="G501" i="3"/>
  <c r="P501" i="3" s="1"/>
  <c r="J500" i="3"/>
  <c r="Q501" i="3" l="1"/>
  <c r="H501" i="3"/>
  <c r="I501" i="3" l="1"/>
  <c r="C502" i="3"/>
  <c r="R501" i="3"/>
  <c r="K502" i="3" s="1"/>
  <c r="L502" i="3"/>
  <c r="F502" i="3" l="1"/>
  <c r="O502" i="3" s="1"/>
  <c r="G502" i="3"/>
  <c r="P502" i="3" s="1"/>
  <c r="J501" i="3"/>
  <c r="Q502" i="3" l="1"/>
  <c r="L503" i="3" s="1"/>
  <c r="H502" i="3"/>
  <c r="I502" i="3" l="1"/>
  <c r="C503" i="3"/>
  <c r="R502" i="3"/>
  <c r="K503" i="3" s="1"/>
  <c r="F503" i="3" l="1"/>
  <c r="O503" i="3" s="1"/>
  <c r="J502" i="3"/>
  <c r="G503" i="3"/>
  <c r="P503" i="3" s="1"/>
  <c r="Q503" i="3" l="1"/>
  <c r="H503" i="3"/>
  <c r="I503" i="3" l="1"/>
  <c r="C504" i="3"/>
  <c r="R503" i="3"/>
  <c r="K504" i="3" s="1"/>
  <c r="L504" i="3"/>
  <c r="F504" i="3" l="1"/>
  <c r="O504" i="3" s="1"/>
  <c r="J503" i="3"/>
  <c r="G504" i="3"/>
  <c r="P504" i="3" s="1"/>
  <c r="Q504" i="3" l="1"/>
  <c r="L505" i="3" s="1"/>
  <c r="H504" i="3"/>
  <c r="I504" i="3" l="1"/>
  <c r="C505" i="3"/>
  <c r="R504" i="3"/>
  <c r="K505" i="3" s="1"/>
  <c r="F505" i="3" l="1"/>
  <c r="O505" i="3" s="1"/>
  <c r="J504" i="3"/>
  <c r="G505" i="3"/>
  <c r="P505" i="3" s="1"/>
  <c r="Q505" i="3" l="1"/>
  <c r="H505" i="3"/>
  <c r="I505" i="3" l="1"/>
  <c r="C506" i="3"/>
  <c r="R505" i="3"/>
  <c r="K506" i="3" s="1"/>
  <c r="L506" i="3"/>
  <c r="F506" i="3" l="1"/>
  <c r="O506" i="3" s="1"/>
  <c r="J505" i="3"/>
  <c r="G506" i="3"/>
  <c r="P506" i="3" s="1"/>
  <c r="Q506" i="3" l="1"/>
  <c r="L507" i="3" s="1"/>
  <c r="H506" i="3"/>
  <c r="I506" i="3" l="1"/>
  <c r="C507" i="3"/>
  <c r="R506" i="3"/>
  <c r="K507" i="3" s="1"/>
  <c r="F507" i="3" l="1"/>
  <c r="O507" i="3" s="1"/>
  <c r="J506" i="3"/>
  <c r="G507" i="3"/>
  <c r="P507" i="3" s="1"/>
  <c r="Q507" i="3" l="1"/>
  <c r="H507" i="3"/>
  <c r="I507" i="3" l="1"/>
  <c r="C508" i="3"/>
  <c r="R507" i="3"/>
  <c r="K508" i="3" s="1"/>
  <c r="L508" i="3"/>
  <c r="F508" i="3" l="1"/>
  <c r="O508" i="3" s="1"/>
  <c r="J507" i="3"/>
  <c r="G508" i="3"/>
  <c r="P508" i="3" s="1"/>
  <c r="Q508" i="3" l="1"/>
  <c r="L509" i="3" s="1"/>
  <c r="H508" i="3"/>
  <c r="I508" i="3" l="1"/>
  <c r="C509" i="3"/>
  <c r="R508" i="3"/>
  <c r="K509" i="3" s="1"/>
  <c r="F509" i="3" l="1"/>
  <c r="O509" i="3" s="1"/>
  <c r="J508" i="3"/>
  <c r="G509" i="3"/>
  <c r="P509" i="3" s="1"/>
  <c r="Q509" i="3" l="1"/>
  <c r="H509" i="3"/>
  <c r="I509" i="3" l="1"/>
  <c r="C510" i="3"/>
  <c r="R509" i="3"/>
  <c r="K510" i="3" s="1"/>
  <c r="L510" i="3"/>
  <c r="F510" i="3" l="1"/>
  <c r="O510" i="3" s="1"/>
  <c r="J509" i="3"/>
  <c r="G510" i="3"/>
  <c r="P510" i="3" s="1"/>
  <c r="Q510" i="3" l="1"/>
  <c r="L511" i="3" s="1"/>
  <c r="H510" i="3"/>
  <c r="I510" i="3" l="1"/>
  <c r="C511" i="3"/>
  <c r="R510" i="3"/>
  <c r="K511" i="3" s="1"/>
  <c r="F511" i="3" l="1"/>
  <c r="O511" i="3" s="1"/>
  <c r="J510" i="3"/>
  <c r="G511" i="3"/>
  <c r="P511" i="3" s="1"/>
  <c r="Q511" i="3" l="1"/>
  <c r="H511" i="3"/>
  <c r="I511" i="3" l="1"/>
  <c r="C512" i="3"/>
  <c r="R511" i="3"/>
  <c r="K512" i="3" s="1"/>
  <c r="L512" i="3"/>
  <c r="F512" i="3" l="1"/>
  <c r="O512" i="3" s="1"/>
  <c r="G512" i="3"/>
  <c r="P512" i="3" s="1"/>
  <c r="J511" i="3"/>
  <c r="Q512" i="3" l="1"/>
  <c r="L513" i="3" s="1"/>
  <c r="H512" i="3"/>
  <c r="I512" i="3" l="1"/>
  <c r="C513" i="3"/>
  <c r="R512" i="3"/>
  <c r="K513" i="3" s="1"/>
  <c r="F513" i="3" l="1"/>
  <c r="O513" i="3" s="1"/>
  <c r="J512" i="3"/>
  <c r="G513" i="3"/>
  <c r="P513" i="3" s="1"/>
  <c r="Q513" i="3" l="1"/>
  <c r="H513" i="3"/>
  <c r="I513" i="3" l="1"/>
  <c r="C514" i="3"/>
  <c r="R513" i="3"/>
  <c r="K514" i="3" s="1"/>
  <c r="L514" i="3"/>
  <c r="F514" i="3" l="1"/>
  <c r="O514" i="3" s="1"/>
  <c r="J513" i="3"/>
  <c r="G514" i="3"/>
  <c r="P514" i="3" s="1"/>
  <c r="Q514" i="3" l="1"/>
  <c r="L515" i="3" s="1"/>
  <c r="H514" i="3"/>
  <c r="I514" i="3" l="1"/>
  <c r="C515" i="3"/>
  <c r="R514" i="3"/>
  <c r="K515" i="3" s="1"/>
  <c r="F515" i="3" l="1"/>
  <c r="O515" i="3" s="1"/>
  <c r="J514" i="3"/>
  <c r="G515" i="3"/>
  <c r="P515" i="3" s="1"/>
  <c r="Q515" i="3" l="1"/>
  <c r="H515" i="3"/>
  <c r="I515" i="3" l="1"/>
  <c r="C516" i="3"/>
  <c r="R515" i="3"/>
  <c r="K516" i="3" s="1"/>
  <c r="L516" i="3"/>
  <c r="F516" i="3" l="1"/>
  <c r="O516" i="3" s="1"/>
  <c r="J515" i="3"/>
  <c r="G516" i="3"/>
  <c r="P516" i="3" s="1"/>
  <c r="Q516" i="3" l="1"/>
  <c r="L517" i="3" s="1"/>
  <c r="H516" i="3"/>
  <c r="I516" i="3" l="1"/>
  <c r="C517" i="3"/>
  <c r="R516" i="3"/>
  <c r="K517" i="3" s="1"/>
  <c r="F517" i="3" l="1"/>
  <c r="O517" i="3" s="1"/>
  <c r="J516" i="3"/>
  <c r="G517" i="3"/>
  <c r="P517" i="3" s="1"/>
  <c r="Q517" i="3" l="1"/>
  <c r="H517" i="3"/>
  <c r="I517" i="3" l="1"/>
  <c r="C518" i="3"/>
  <c r="R517" i="3"/>
  <c r="K518" i="3" s="1"/>
  <c r="L518" i="3"/>
  <c r="F518" i="3" l="1"/>
  <c r="O518" i="3" s="1"/>
  <c r="J517" i="3"/>
  <c r="G518" i="3"/>
  <c r="P518" i="3" s="1"/>
  <c r="Q518" i="3" l="1"/>
  <c r="L519" i="3" s="1"/>
  <c r="H518" i="3"/>
  <c r="I518" i="3" l="1"/>
  <c r="C519" i="3"/>
  <c r="R518" i="3"/>
  <c r="K519" i="3" s="1"/>
  <c r="F519" i="3" l="1"/>
  <c r="O519" i="3" s="1"/>
  <c r="J518" i="3"/>
  <c r="G519" i="3"/>
  <c r="P519" i="3" s="1"/>
  <c r="Q519" i="3" l="1"/>
  <c r="H519" i="3"/>
  <c r="I519" i="3" l="1"/>
  <c r="C520" i="3"/>
  <c r="R519" i="3"/>
  <c r="K520" i="3" s="1"/>
  <c r="L520" i="3"/>
  <c r="F520" i="3" l="1"/>
  <c r="O520" i="3" s="1"/>
  <c r="J519" i="3"/>
  <c r="G520" i="3"/>
  <c r="P520" i="3" s="1"/>
  <c r="Q520" i="3" l="1"/>
  <c r="L521" i="3" s="1"/>
  <c r="H520" i="3"/>
  <c r="C521" i="3" l="1"/>
  <c r="I520" i="3"/>
  <c r="R520" i="3"/>
  <c r="K521" i="3" s="1"/>
  <c r="F521" i="3" l="1"/>
  <c r="O521" i="3" s="1"/>
  <c r="J520" i="3"/>
  <c r="G521" i="3"/>
  <c r="P521" i="3" s="1"/>
  <c r="H521" i="3" l="1"/>
  <c r="Q521" i="3"/>
  <c r="R521" i="3" l="1"/>
  <c r="K522" i="3" s="1"/>
  <c r="L522" i="3"/>
  <c r="I521" i="3"/>
  <c r="C522" i="3"/>
  <c r="F522" i="3" l="1"/>
  <c r="O522" i="3" s="1"/>
  <c r="J521" i="3"/>
  <c r="G522" i="3"/>
  <c r="P522" i="3" s="1"/>
  <c r="Q522" i="3" l="1"/>
  <c r="L523" i="3" s="1"/>
  <c r="H522" i="3"/>
  <c r="I522" i="3" l="1"/>
  <c r="C523" i="3"/>
  <c r="R522" i="3"/>
  <c r="K523" i="3" s="1"/>
  <c r="F523" i="3" l="1"/>
  <c r="O523" i="3" s="1"/>
  <c r="G523" i="3"/>
  <c r="P523" i="3" s="1"/>
  <c r="J522" i="3"/>
  <c r="Q523" i="3" l="1"/>
  <c r="H523" i="3"/>
  <c r="I523" i="3" l="1"/>
  <c r="C524" i="3"/>
  <c r="R523" i="3"/>
  <c r="K524" i="3" s="1"/>
  <c r="L524" i="3"/>
  <c r="F524" i="3" l="1"/>
  <c r="O524" i="3" s="1"/>
  <c r="G524" i="3"/>
  <c r="P524" i="3" s="1"/>
  <c r="J523" i="3"/>
  <c r="Q524" i="3" l="1"/>
  <c r="L525" i="3" s="1"/>
  <c r="H524" i="3"/>
  <c r="I524" i="3" l="1"/>
  <c r="C525" i="3"/>
  <c r="R524" i="3"/>
  <c r="K525" i="3" s="1"/>
  <c r="F525" i="3" l="1"/>
  <c r="O525" i="3" s="1"/>
  <c r="G525" i="3"/>
  <c r="P525" i="3" s="1"/>
  <c r="J524" i="3"/>
  <c r="Q525" i="3" l="1"/>
  <c r="H525" i="3"/>
  <c r="I525" i="3" l="1"/>
  <c r="C526" i="3"/>
  <c r="R525" i="3"/>
  <c r="K526" i="3" s="1"/>
  <c r="L526" i="3"/>
  <c r="F526" i="3" l="1"/>
  <c r="O526" i="3" s="1"/>
  <c r="G526" i="3"/>
  <c r="P526" i="3" s="1"/>
  <c r="J525" i="3"/>
  <c r="Q526" i="3" l="1"/>
  <c r="L527" i="3" s="1"/>
  <c r="H526" i="3"/>
  <c r="I526" i="3" l="1"/>
  <c r="C527" i="3"/>
  <c r="R526" i="3"/>
  <c r="K527" i="3" s="1"/>
  <c r="F527" i="3" l="1"/>
  <c r="O527" i="3" s="1"/>
  <c r="J526" i="3"/>
  <c r="G527" i="3"/>
  <c r="P527" i="3" s="1"/>
  <c r="Q527" i="3" l="1"/>
  <c r="H527" i="3"/>
  <c r="I527" i="3" l="1"/>
  <c r="C528" i="3"/>
  <c r="R527" i="3"/>
  <c r="K528" i="3" s="1"/>
  <c r="L528" i="3"/>
  <c r="F528" i="3" l="1"/>
  <c r="O528" i="3" s="1"/>
  <c r="J527" i="3"/>
  <c r="G528" i="3"/>
  <c r="P528" i="3" s="1"/>
  <c r="Q528" i="3" l="1"/>
  <c r="L529" i="3" s="1"/>
  <c r="H528" i="3"/>
  <c r="I528" i="3" l="1"/>
  <c r="C529" i="3"/>
  <c r="R528" i="3"/>
  <c r="K529" i="3" s="1"/>
  <c r="F529" i="3" l="1"/>
  <c r="O529" i="3" s="1"/>
  <c r="G529" i="3"/>
  <c r="P529" i="3" s="1"/>
  <c r="J528" i="3"/>
  <c r="Q529" i="3" l="1"/>
  <c r="H529" i="3"/>
  <c r="I529" i="3" l="1"/>
  <c r="C530" i="3"/>
  <c r="R529" i="3"/>
  <c r="K530" i="3" s="1"/>
  <c r="L530" i="3"/>
  <c r="F530" i="3" l="1"/>
  <c r="O530" i="3" s="1"/>
  <c r="J529" i="3"/>
  <c r="G530" i="3"/>
  <c r="P530" i="3" s="1"/>
  <c r="Q530" i="3" l="1"/>
  <c r="L531" i="3" s="1"/>
  <c r="H530" i="3"/>
  <c r="I530" i="3" l="1"/>
  <c r="C531" i="3"/>
  <c r="R530" i="3"/>
  <c r="K531" i="3" s="1"/>
  <c r="F531" i="3" l="1"/>
  <c r="O531" i="3" s="1"/>
  <c r="J530" i="3"/>
  <c r="G531" i="3"/>
  <c r="P531" i="3" s="1"/>
  <c r="Q531" i="3" l="1"/>
  <c r="H531" i="3"/>
  <c r="I531" i="3" l="1"/>
  <c r="C532" i="3"/>
  <c r="R531" i="3"/>
  <c r="K532" i="3" s="1"/>
  <c r="L532" i="3"/>
  <c r="F532" i="3" l="1"/>
  <c r="O532" i="3" s="1"/>
  <c r="J531" i="3"/>
  <c r="G532" i="3"/>
  <c r="P532" i="3" s="1"/>
  <c r="Q532" i="3" l="1"/>
  <c r="L533" i="3" s="1"/>
  <c r="H532" i="3"/>
  <c r="I532" i="3" l="1"/>
  <c r="C533" i="3"/>
  <c r="R532" i="3"/>
  <c r="K533" i="3" s="1"/>
  <c r="F533" i="3" l="1"/>
  <c r="O533" i="3" s="1"/>
  <c r="J532" i="3"/>
  <c r="G533" i="3"/>
  <c r="P533" i="3" s="1"/>
  <c r="Q533" i="3" l="1"/>
  <c r="H533" i="3"/>
  <c r="I533" i="3" l="1"/>
  <c r="C534" i="3"/>
  <c r="R533" i="3"/>
  <c r="K534" i="3" s="1"/>
  <c r="L534" i="3"/>
  <c r="F534" i="3" l="1"/>
  <c r="O534" i="3" s="1"/>
  <c r="J533" i="3"/>
  <c r="G534" i="3"/>
  <c r="P534" i="3" s="1"/>
  <c r="Q534" i="3" l="1"/>
  <c r="L535" i="3" s="1"/>
  <c r="H534" i="3"/>
  <c r="I534" i="3" l="1"/>
  <c r="C535" i="3"/>
  <c r="R534" i="3"/>
  <c r="K535" i="3" s="1"/>
  <c r="F535" i="3" l="1"/>
  <c r="O535" i="3" s="1"/>
  <c r="J534" i="3"/>
  <c r="G535" i="3"/>
  <c r="P535" i="3" s="1"/>
  <c r="Q535" i="3" l="1"/>
  <c r="H535" i="3"/>
  <c r="I535" i="3" l="1"/>
  <c r="C536" i="3"/>
  <c r="R535" i="3"/>
  <c r="K536" i="3" s="1"/>
  <c r="L536" i="3"/>
  <c r="F536" i="3" l="1"/>
  <c r="O536" i="3" s="1"/>
  <c r="J535" i="3"/>
  <c r="G536" i="3"/>
  <c r="P536" i="3" s="1"/>
  <c r="Q536" i="3" l="1"/>
  <c r="L537" i="3" s="1"/>
  <c r="H536" i="3"/>
  <c r="I536" i="3" l="1"/>
  <c r="C537" i="3"/>
  <c r="R536" i="3"/>
  <c r="K537" i="3" s="1"/>
  <c r="F537" i="3" l="1"/>
  <c r="O537" i="3" s="1"/>
  <c r="G537" i="3"/>
  <c r="P537" i="3" s="1"/>
  <c r="J536" i="3"/>
  <c r="Q537" i="3" l="1"/>
  <c r="H537" i="3"/>
  <c r="I537" i="3" l="1"/>
  <c r="C538" i="3"/>
  <c r="R537" i="3"/>
  <c r="K538" i="3" s="1"/>
  <c r="L538" i="3"/>
  <c r="F538" i="3" l="1"/>
  <c r="O538" i="3" s="1"/>
  <c r="J537" i="3"/>
  <c r="G538" i="3"/>
  <c r="P538" i="3" s="1"/>
  <c r="Q538" i="3" l="1"/>
  <c r="L539" i="3" s="1"/>
  <c r="H538" i="3"/>
  <c r="I538" i="3" l="1"/>
  <c r="C539" i="3"/>
  <c r="R538" i="3"/>
  <c r="K539" i="3" s="1"/>
  <c r="F539" i="3" l="1"/>
  <c r="O539" i="3" s="1"/>
  <c r="J538" i="3"/>
  <c r="G539" i="3"/>
  <c r="P539" i="3" s="1"/>
  <c r="Q539" i="3" l="1"/>
  <c r="H539" i="3"/>
  <c r="I539" i="3" l="1"/>
  <c r="C540" i="3"/>
  <c r="R539" i="3"/>
  <c r="K540" i="3" s="1"/>
  <c r="L540" i="3"/>
  <c r="F540" i="3" l="1"/>
  <c r="O540" i="3" s="1"/>
  <c r="G540" i="3"/>
  <c r="P540" i="3" s="1"/>
  <c r="J539" i="3"/>
  <c r="Q540" i="3" l="1"/>
  <c r="L541" i="3" s="1"/>
  <c r="H540" i="3"/>
  <c r="I540" i="3" l="1"/>
  <c r="C541" i="3"/>
  <c r="R540" i="3"/>
  <c r="K541" i="3" s="1"/>
  <c r="F541" i="3" l="1"/>
  <c r="O541" i="3" s="1"/>
  <c r="J540" i="3"/>
  <c r="G541" i="3"/>
  <c r="P541" i="3" s="1"/>
  <c r="Q541" i="3" l="1"/>
  <c r="H541" i="3"/>
  <c r="I541" i="3" l="1"/>
  <c r="C542" i="3"/>
  <c r="R541" i="3"/>
  <c r="K542" i="3" s="1"/>
  <c r="L542" i="3"/>
  <c r="F542" i="3" l="1"/>
  <c r="O542" i="3" s="1"/>
  <c r="J541" i="3"/>
  <c r="G542" i="3"/>
  <c r="P542" i="3" s="1"/>
  <c r="Q542" i="3" l="1"/>
  <c r="L543" i="3" s="1"/>
  <c r="H542" i="3"/>
  <c r="I542" i="3" l="1"/>
  <c r="C543" i="3"/>
  <c r="R542" i="3"/>
  <c r="K543" i="3" s="1"/>
  <c r="F543" i="3" l="1"/>
  <c r="O543" i="3" s="1"/>
  <c r="J542" i="3"/>
  <c r="G543" i="3"/>
  <c r="P543" i="3" s="1"/>
  <c r="Q543" i="3" l="1"/>
  <c r="H543" i="3"/>
  <c r="I543" i="3" l="1"/>
  <c r="C544" i="3"/>
  <c r="R543" i="3"/>
  <c r="K544" i="3" s="1"/>
  <c r="L544" i="3"/>
  <c r="F544" i="3" l="1"/>
  <c r="O544" i="3" s="1"/>
  <c r="J543" i="3"/>
  <c r="G544" i="3"/>
  <c r="P544" i="3" s="1"/>
  <c r="Q544" i="3" l="1"/>
  <c r="L545" i="3" s="1"/>
  <c r="H544" i="3"/>
  <c r="I544" i="3" l="1"/>
  <c r="C545" i="3"/>
  <c r="R544" i="3"/>
  <c r="K545" i="3" s="1"/>
  <c r="F545" i="3" l="1"/>
  <c r="O545" i="3" s="1"/>
  <c r="J544" i="3"/>
  <c r="G545" i="3"/>
  <c r="P545" i="3" s="1"/>
  <c r="Q545" i="3" l="1"/>
  <c r="H545" i="3"/>
  <c r="I545" i="3" l="1"/>
  <c r="C546" i="3"/>
  <c r="R545" i="3"/>
  <c r="K546" i="3" s="1"/>
  <c r="L546" i="3"/>
  <c r="F546" i="3" l="1"/>
  <c r="O546" i="3" s="1"/>
  <c r="J545" i="3"/>
  <c r="G546" i="3"/>
  <c r="P546" i="3" s="1"/>
  <c r="Q546" i="3" l="1"/>
  <c r="L547" i="3" s="1"/>
  <c r="H546" i="3"/>
  <c r="I546" i="3" l="1"/>
  <c r="C547" i="3"/>
  <c r="R546" i="3"/>
  <c r="K547" i="3" s="1"/>
  <c r="F547" i="3" l="1"/>
  <c r="O547" i="3" s="1"/>
  <c r="J546" i="3"/>
  <c r="G547" i="3"/>
  <c r="P547" i="3" s="1"/>
  <c r="Q547" i="3" l="1"/>
  <c r="H547" i="3"/>
  <c r="I547" i="3" l="1"/>
  <c r="C548" i="3"/>
  <c r="R547" i="3"/>
  <c r="K548" i="3" s="1"/>
  <c r="L548" i="3"/>
  <c r="F548" i="3" l="1"/>
  <c r="O548" i="3" s="1"/>
  <c r="J547" i="3"/>
  <c r="G548" i="3"/>
  <c r="P548" i="3" s="1"/>
  <c r="Q548" i="3" l="1"/>
  <c r="L549" i="3" s="1"/>
  <c r="H548" i="3"/>
  <c r="I548" i="3" l="1"/>
  <c r="C549" i="3"/>
  <c r="R548" i="3"/>
  <c r="K549" i="3" s="1"/>
  <c r="F549" i="3" l="1"/>
  <c r="O549" i="3" s="1"/>
  <c r="J548" i="3"/>
  <c r="G549" i="3"/>
  <c r="P549" i="3" s="1"/>
  <c r="Q549" i="3" l="1"/>
  <c r="H549" i="3"/>
  <c r="I549" i="3" l="1"/>
  <c r="C550" i="3"/>
  <c r="R549" i="3"/>
  <c r="K550" i="3" s="1"/>
  <c r="L550" i="3"/>
  <c r="F550" i="3" l="1"/>
  <c r="O550" i="3" s="1"/>
  <c r="J549" i="3"/>
  <c r="G550" i="3"/>
  <c r="P550" i="3" s="1"/>
  <c r="Q550" i="3" l="1"/>
  <c r="L551" i="3" s="1"/>
  <c r="H550" i="3"/>
  <c r="I550" i="3" l="1"/>
  <c r="C551" i="3"/>
  <c r="R550" i="3"/>
  <c r="K551" i="3" s="1"/>
  <c r="F551" i="3" l="1"/>
  <c r="O551" i="3" s="1"/>
  <c r="J550" i="3"/>
  <c r="G551" i="3"/>
  <c r="P551" i="3" s="1"/>
  <c r="Q551" i="3" l="1"/>
  <c r="H551" i="3"/>
  <c r="I551" i="3" l="1"/>
  <c r="C552" i="3"/>
  <c r="R551" i="3"/>
  <c r="K552" i="3" s="1"/>
  <c r="L552" i="3"/>
  <c r="F552" i="3" l="1"/>
  <c r="O552" i="3" s="1"/>
  <c r="J551" i="3"/>
  <c r="G552" i="3"/>
  <c r="P552" i="3" s="1"/>
  <c r="Q552" i="3" l="1"/>
  <c r="L553" i="3" s="1"/>
  <c r="H552" i="3"/>
  <c r="I552" i="3" l="1"/>
  <c r="C553" i="3"/>
  <c r="R552" i="3"/>
  <c r="K553" i="3" s="1"/>
  <c r="F553" i="3" l="1"/>
  <c r="O553" i="3" s="1"/>
  <c r="J552" i="3"/>
  <c r="G553" i="3"/>
  <c r="P553" i="3" s="1"/>
  <c r="Q553" i="3" l="1"/>
  <c r="H553" i="3"/>
  <c r="I553" i="3" l="1"/>
  <c r="C554" i="3"/>
  <c r="R553" i="3"/>
  <c r="K554" i="3" s="1"/>
  <c r="L554" i="3"/>
  <c r="F554" i="3" l="1"/>
  <c r="O554" i="3" s="1"/>
  <c r="J553" i="3"/>
  <c r="G554" i="3"/>
  <c r="P554" i="3" s="1"/>
  <c r="Q554" i="3" l="1"/>
  <c r="L555" i="3" s="1"/>
  <c r="H554" i="3"/>
  <c r="I554" i="3" l="1"/>
  <c r="C555" i="3"/>
  <c r="R554" i="3"/>
  <c r="K555" i="3" s="1"/>
  <c r="F555" i="3" l="1"/>
  <c r="O555" i="3" s="1"/>
  <c r="J554" i="3"/>
  <c r="G555" i="3"/>
  <c r="P555" i="3" s="1"/>
  <c r="Q555" i="3" l="1"/>
  <c r="H555" i="3"/>
  <c r="I555" i="3" l="1"/>
  <c r="C556" i="3"/>
  <c r="R555" i="3"/>
  <c r="K556" i="3" s="1"/>
  <c r="L556" i="3"/>
  <c r="F556" i="3" l="1"/>
  <c r="O556" i="3" s="1"/>
  <c r="J555" i="3"/>
  <c r="G556" i="3"/>
  <c r="P556" i="3" s="1"/>
  <c r="Q556" i="3" l="1"/>
  <c r="L557" i="3" s="1"/>
  <c r="H556" i="3"/>
  <c r="I556" i="3" l="1"/>
  <c r="C557" i="3"/>
  <c r="R556" i="3"/>
  <c r="K557" i="3" s="1"/>
  <c r="F557" i="3" l="1"/>
  <c r="O557" i="3" s="1"/>
  <c r="J556" i="3"/>
  <c r="G557" i="3"/>
  <c r="P557" i="3" s="1"/>
  <c r="Q557" i="3" l="1"/>
  <c r="H557" i="3"/>
  <c r="I557" i="3" l="1"/>
  <c r="C558" i="3"/>
  <c r="R557" i="3"/>
  <c r="K558" i="3" s="1"/>
  <c r="L558" i="3"/>
  <c r="F558" i="3" l="1"/>
  <c r="O558" i="3" s="1"/>
  <c r="J557" i="3"/>
  <c r="G558" i="3"/>
  <c r="P558" i="3" s="1"/>
  <c r="Q558" i="3" l="1"/>
  <c r="L559" i="3" s="1"/>
  <c r="H558" i="3"/>
  <c r="I558" i="3" l="1"/>
  <c r="C559" i="3"/>
  <c r="R558" i="3"/>
  <c r="K559" i="3" s="1"/>
  <c r="F559" i="3" l="1"/>
  <c r="O559" i="3" s="1"/>
  <c r="J558" i="3"/>
  <c r="G559" i="3"/>
  <c r="P559" i="3" s="1"/>
  <c r="Q559" i="3" l="1"/>
  <c r="H559" i="3"/>
  <c r="I559" i="3" l="1"/>
  <c r="C560" i="3"/>
  <c r="R559" i="3"/>
  <c r="K560" i="3" s="1"/>
  <c r="L560" i="3"/>
  <c r="F560" i="3" l="1"/>
  <c r="O560" i="3" s="1"/>
  <c r="J559" i="3"/>
  <c r="G560" i="3"/>
  <c r="P560" i="3" s="1"/>
  <c r="Q560" i="3" l="1"/>
  <c r="L561" i="3" s="1"/>
  <c r="H560" i="3"/>
  <c r="I560" i="3" l="1"/>
  <c r="C561" i="3"/>
  <c r="R560" i="3"/>
  <c r="K561" i="3" s="1"/>
  <c r="F561" i="3" l="1"/>
  <c r="O561" i="3" s="1"/>
  <c r="J560" i="3"/>
  <c r="G561" i="3"/>
  <c r="P561" i="3" s="1"/>
  <c r="Q561" i="3" l="1"/>
  <c r="H561" i="3"/>
  <c r="I561" i="3" l="1"/>
  <c r="C562" i="3"/>
  <c r="R561" i="3"/>
  <c r="K562" i="3" s="1"/>
  <c r="L562" i="3"/>
  <c r="F562" i="3" l="1"/>
  <c r="O562" i="3" s="1"/>
  <c r="J561" i="3"/>
  <c r="G562" i="3"/>
  <c r="P562" i="3" s="1"/>
  <c r="Q562" i="3" l="1"/>
  <c r="L563" i="3" s="1"/>
  <c r="H562" i="3"/>
  <c r="I562" i="3" l="1"/>
  <c r="C563" i="3"/>
  <c r="R562" i="3"/>
  <c r="K563" i="3" s="1"/>
  <c r="F563" i="3" l="1"/>
  <c r="O563" i="3" s="1"/>
  <c r="J562" i="3"/>
  <c r="G563" i="3"/>
  <c r="P563" i="3" s="1"/>
  <c r="Q563" i="3" l="1"/>
  <c r="L564" i="3" s="1"/>
  <c r="H563" i="3"/>
  <c r="C564" i="3" l="1"/>
  <c r="I563" i="3"/>
  <c r="R563" i="3"/>
  <c r="K564" i="3" s="1"/>
  <c r="F564" i="3" l="1"/>
  <c r="O564" i="3" s="1"/>
  <c r="J563" i="3"/>
  <c r="G564" i="3"/>
  <c r="P564" i="3" s="1"/>
  <c r="H564" i="3" l="1"/>
  <c r="Q564" i="3"/>
  <c r="R564" i="3" l="1"/>
  <c r="K565" i="3" s="1"/>
  <c r="L565" i="3"/>
  <c r="I564" i="3"/>
  <c r="C565" i="3"/>
  <c r="F565" i="3" l="1"/>
  <c r="O565" i="3" s="1"/>
  <c r="J564" i="3"/>
  <c r="G565" i="3"/>
  <c r="P565" i="3" s="1"/>
  <c r="Q565" i="3" l="1"/>
  <c r="L566" i="3" s="1"/>
  <c r="H565" i="3"/>
  <c r="I565" i="3" l="1"/>
  <c r="C566" i="3"/>
  <c r="R565" i="3"/>
  <c r="K566" i="3" s="1"/>
  <c r="F566" i="3" l="1"/>
  <c r="O566" i="3" s="1"/>
  <c r="J565" i="3"/>
  <c r="G566" i="3"/>
  <c r="P566" i="3" s="1"/>
  <c r="Q566" i="3" l="1"/>
  <c r="H566" i="3"/>
  <c r="I566" i="3" l="1"/>
  <c r="C567" i="3"/>
  <c r="R566" i="3"/>
  <c r="K567" i="3" s="1"/>
  <c r="L567" i="3"/>
  <c r="F567" i="3" l="1"/>
  <c r="O567" i="3" s="1"/>
  <c r="J566" i="3"/>
  <c r="G567" i="3"/>
  <c r="P567" i="3" s="1"/>
  <c r="Q567" i="3" l="1"/>
  <c r="L568" i="3" s="1"/>
  <c r="H567" i="3"/>
  <c r="I567" i="3" l="1"/>
  <c r="C568" i="3"/>
  <c r="R567" i="3"/>
  <c r="K568" i="3" s="1"/>
  <c r="F568" i="3" l="1"/>
  <c r="O568" i="3" s="1"/>
  <c r="J567" i="3"/>
  <c r="G568" i="3"/>
  <c r="P568" i="3" s="1"/>
  <c r="Q568" i="3" l="1"/>
  <c r="H568" i="3"/>
  <c r="I568" i="3" l="1"/>
  <c r="C569" i="3"/>
  <c r="L569" i="3"/>
  <c r="R568" i="3"/>
  <c r="K569" i="3" s="1"/>
  <c r="F569" i="3" l="1"/>
  <c r="O569" i="3" s="1"/>
  <c r="J568" i="3"/>
  <c r="G569" i="3"/>
  <c r="P569" i="3" s="1"/>
  <c r="Q569" i="3" l="1"/>
  <c r="L570" i="3" s="1"/>
  <c r="H569" i="3"/>
  <c r="I569" i="3" l="1"/>
  <c r="C570" i="3"/>
  <c r="R569" i="3"/>
  <c r="K570" i="3" s="1"/>
  <c r="F570" i="3" l="1"/>
  <c r="O570" i="3" s="1"/>
  <c r="J569" i="3"/>
  <c r="G570" i="3"/>
  <c r="P570" i="3" s="1"/>
  <c r="Q570" i="3" l="1"/>
  <c r="H570" i="3"/>
  <c r="I570" i="3" l="1"/>
  <c r="C571" i="3"/>
  <c r="R570" i="3"/>
  <c r="K571" i="3" s="1"/>
  <c r="L571" i="3"/>
  <c r="F571" i="3" l="1"/>
  <c r="O571" i="3" s="1"/>
  <c r="J570" i="3"/>
  <c r="G571" i="3"/>
  <c r="P571" i="3" s="1"/>
  <c r="Q571" i="3" l="1"/>
  <c r="L572" i="3" s="1"/>
  <c r="H571" i="3"/>
  <c r="I571" i="3" l="1"/>
  <c r="C572" i="3"/>
  <c r="R571" i="3"/>
  <c r="K572" i="3" s="1"/>
  <c r="F572" i="3" l="1"/>
  <c r="O572" i="3" s="1"/>
  <c r="J571" i="3"/>
  <c r="G572" i="3"/>
  <c r="P572" i="3" s="1"/>
  <c r="Q572" i="3" l="1"/>
  <c r="H572" i="3"/>
  <c r="I572" i="3" l="1"/>
  <c r="C573" i="3"/>
  <c r="R572" i="3"/>
  <c r="K573" i="3" s="1"/>
  <c r="L573" i="3"/>
  <c r="F573" i="3" l="1"/>
  <c r="O573" i="3" s="1"/>
  <c r="J572" i="3"/>
  <c r="G573" i="3"/>
  <c r="P573" i="3" s="1"/>
  <c r="Q573" i="3" l="1"/>
  <c r="L574" i="3" s="1"/>
  <c r="H573" i="3"/>
  <c r="I573" i="3" l="1"/>
  <c r="C574" i="3"/>
  <c r="R573" i="3"/>
  <c r="K574" i="3" s="1"/>
  <c r="F574" i="3" l="1"/>
  <c r="O574" i="3" s="1"/>
  <c r="J573" i="3"/>
  <c r="G574" i="3"/>
  <c r="P574" i="3" s="1"/>
  <c r="Q574" i="3" l="1"/>
  <c r="H574" i="3"/>
  <c r="I574" i="3" l="1"/>
  <c r="C575" i="3"/>
  <c r="R574" i="3"/>
  <c r="K575" i="3" s="1"/>
  <c r="L575" i="3"/>
  <c r="F575" i="3" l="1"/>
  <c r="O575" i="3" s="1"/>
  <c r="J574" i="3"/>
  <c r="G575" i="3"/>
  <c r="P575" i="3" s="1"/>
  <c r="Q575" i="3" l="1"/>
  <c r="L576" i="3" s="1"/>
  <c r="H575" i="3"/>
  <c r="I575" i="3" l="1"/>
  <c r="C576" i="3"/>
  <c r="R575" i="3"/>
  <c r="K576" i="3" s="1"/>
  <c r="F576" i="3" l="1"/>
  <c r="O576" i="3" s="1"/>
  <c r="J575" i="3"/>
  <c r="G576" i="3"/>
  <c r="P576" i="3" s="1"/>
  <c r="Q576" i="3" l="1"/>
  <c r="H576" i="3"/>
  <c r="I576" i="3" l="1"/>
  <c r="C577" i="3"/>
  <c r="R576" i="3"/>
  <c r="K577" i="3" s="1"/>
  <c r="L577" i="3"/>
  <c r="F577" i="3" l="1"/>
  <c r="O577" i="3" s="1"/>
  <c r="J576" i="3"/>
  <c r="G577" i="3"/>
  <c r="P577" i="3" s="1"/>
  <c r="Q577" i="3" l="1"/>
  <c r="L578" i="3" s="1"/>
  <c r="H577" i="3"/>
  <c r="I577" i="3" l="1"/>
  <c r="C578" i="3"/>
  <c r="R577" i="3"/>
  <c r="K578" i="3" s="1"/>
  <c r="F578" i="3" l="1"/>
  <c r="O578" i="3" s="1"/>
  <c r="J577" i="3"/>
  <c r="G578" i="3"/>
  <c r="P578" i="3" s="1"/>
  <c r="Q578" i="3" l="1"/>
  <c r="H578" i="3"/>
  <c r="I578" i="3" l="1"/>
  <c r="C579" i="3"/>
  <c r="R578" i="3"/>
  <c r="K579" i="3" s="1"/>
  <c r="L579" i="3"/>
  <c r="F579" i="3" l="1"/>
  <c r="O579" i="3" s="1"/>
  <c r="J578" i="3"/>
  <c r="G579" i="3"/>
  <c r="P579" i="3" s="1"/>
  <c r="Q579" i="3" l="1"/>
  <c r="L580" i="3" s="1"/>
  <c r="H579" i="3"/>
  <c r="I579" i="3" l="1"/>
  <c r="C580" i="3"/>
  <c r="R579" i="3"/>
  <c r="K580" i="3" s="1"/>
  <c r="F580" i="3" l="1"/>
  <c r="O580" i="3" s="1"/>
  <c r="J579" i="3"/>
  <c r="G580" i="3"/>
  <c r="P580" i="3" s="1"/>
  <c r="Q580" i="3" l="1"/>
  <c r="H580" i="3"/>
  <c r="I580" i="3" l="1"/>
  <c r="C581" i="3"/>
  <c r="R580" i="3"/>
  <c r="K581" i="3" s="1"/>
  <c r="L581" i="3"/>
  <c r="F581" i="3" l="1"/>
  <c r="O581" i="3" s="1"/>
  <c r="J580" i="3"/>
  <c r="G581" i="3"/>
  <c r="P581" i="3" s="1"/>
  <c r="Q581" i="3" l="1"/>
  <c r="L582" i="3" s="1"/>
  <c r="H581" i="3"/>
  <c r="I581" i="3" l="1"/>
  <c r="C582" i="3"/>
  <c r="R581" i="3"/>
  <c r="K582" i="3" s="1"/>
  <c r="F582" i="3" l="1"/>
  <c r="O582" i="3" s="1"/>
  <c r="J581" i="3"/>
  <c r="G582" i="3"/>
  <c r="P582" i="3" s="1"/>
  <c r="Q582" i="3" l="1"/>
  <c r="H582" i="3"/>
  <c r="I582" i="3" l="1"/>
  <c r="C583" i="3"/>
  <c r="R582" i="3"/>
  <c r="K583" i="3" s="1"/>
  <c r="L583" i="3"/>
  <c r="F583" i="3" l="1"/>
  <c r="O583" i="3" s="1"/>
  <c r="J582" i="3"/>
  <c r="G583" i="3"/>
  <c r="P583" i="3" s="1"/>
  <c r="Q583" i="3" l="1"/>
  <c r="L584" i="3" s="1"/>
  <c r="H583" i="3"/>
  <c r="I583" i="3" l="1"/>
  <c r="C584" i="3"/>
  <c r="R583" i="3"/>
  <c r="K584" i="3" s="1"/>
  <c r="F584" i="3" l="1"/>
  <c r="O584" i="3" s="1"/>
  <c r="J583" i="3"/>
  <c r="G584" i="3"/>
  <c r="P584" i="3" s="1"/>
  <c r="Q584" i="3" l="1"/>
  <c r="H584" i="3"/>
  <c r="I584" i="3" l="1"/>
  <c r="C585" i="3"/>
  <c r="R584" i="3"/>
  <c r="K585" i="3" s="1"/>
  <c r="L585" i="3"/>
  <c r="F585" i="3" l="1"/>
  <c r="O585" i="3" s="1"/>
  <c r="J584" i="3"/>
  <c r="G585" i="3"/>
  <c r="P585" i="3" s="1"/>
  <c r="Q585" i="3" l="1"/>
  <c r="L586" i="3" s="1"/>
  <c r="H585" i="3"/>
  <c r="I585" i="3" l="1"/>
  <c r="C586" i="3"/>
  <c r="R585" i="3"/>
  <c r="K586" i="3" s="1"/>
  <c r="F586" i="3" l="1"/>
  <c r="O586" i="3" s="1"/>
  <c r="J585" i="3"/>
  <c r="G586" i="3"/>
  <c r="P586" i="3" s="1"/>
  <c r="Q586" i="3" l="1"/>
  <c r="H586" i="3"/>
  <c r="I586" i="3" l="1"/>
  <c r="C587" i="3"/>
  <c r="R586" i="3"/>
  <c r="K587" i="3" s="1"/>
  <c r="L587" i="3"/>
  <c r="F587" i="3" l="1"/>
  <c r="O587" i="3" s="1"/>
  <c r="J586" i="3"/>
  <c r="G587" i="3"/>
  <c r="P587" i="3" s="1"/>
  <c r="Q587" i="3" l="1"/>
  <c r="L588" i="3" s="1"/>
  <c r="H587" i="3"/>
  <c r="I587" i="3" l="1"/>
  <c r="C588" i="3"/>
  <c r="R587" i="3"/>
  <c r="K588" i="3" s="1"/>
  <c r="F588" i="3" l="1"/>
  <c r="O588" i="3" s="1"/>
  <c r="J587" i="3"/>
  <c r="G588" i="3"/>
  <c r="P588" i="3" s="1"/>
  <c r="Q588" i="3" l="1"/>
  <c r="H588" i="3"/>
  <c r="I588" i="3" l="1"/>
  <c r="C589" i="3"/>
  <c r="R588" i="3"/>
  <c r="K589" i="3" s="1"/>
  <c r="L589" i="3"/>
  <c r="F589" i="3" l="1"/>
  <c r="O589" i="3" s="1"/>
  <c r="J588" i="3"/>
  <c r="G589" i="3"/>
  <c r="P589" i="3" s="1"/>
  <c r="Q589" i="3" l="1"/>
  <c r="L590" i="3" s="1"/>
  <c r="H589" i="3"/>
  <c r="I589" i="3" l="1"/>
  <c r="C590" i="3"/>
  <c r="R589" i="3"/>
  <c r="K590" i="3" s="1"/>
  <c r="F590" i="3" l="1"/>
  <c r="O590" i="3" s="1"/>
  <c r="J589" i="3"/>
  <c r="G590" i="3"/>
  <c r="P590" i="3" s="1"/>
  <c r="Q590" i="3" l="1"/>
  <c r="H590" i="3"/>
  <c r="I590" i="3" l="1"/>
  <c r="C591" i="3"/>
  <c r="R590" i="3"/>
  <c r="K591" i="3" s="1"/>
  <c r="L591" i="3"/>
  <c r="F591" i="3" l="1"/>
  <c r="O591" i="3" s="1"/>
  <c r="J590" i="3"/>
  <c r="G591" i="3"/>
  <c r="P591" i="3" s="1"/>
  <c r="Q591" i="3" l="1"/>
  <c r="L592" i="3" s="1"/>
  <c r="H591" i="3"/>
  <c r="I591" i="3" l="1"/>
  <c r="C592" i="3"/>
  <c r="R591" i="3"/>
  <c r="K592" i="3" s="1"/>
  <c r="F592" i="3" l="1"/>
  <c r="O592" i="3" s="1"/>
  <c r="J591" i="3"/>
  <c r="G592" i="3"/>
  <c r="P592" i="3" s="1"/>
  <c r="Q592" i="3" l="1"/>
  <c r="H592" i="3"/>
  <c r="I592" i="3" l="1"/>
  <c r="C593" i="3"/>
  <c r="R592" i="3"/>
  <c r="K593" i="3" s="1"/>
  <c r="L593" i="3"/>
  <c r="F593" i="3" l="1"/>
  <c r="O593" i="3" s="1"/>
  <c r="J592" i="3"/>
  <c r="G593" i="3"/>
  <c r="P593" i="3" s="1"/>
  <c r="Q593" i="3" l="1"/>
  <c r="L594" i="3" s="1"/>
  <c r="H593" i="3"/>
  <c r="I593" i="3" l="1"/>
  <c r="C594" i="3"/>
  <c r="R593" i="3"/>
  <c r="K594" i="3" s="1"/>
  <c r="F594" i="3" l="1"/>
  <c r="O594" i="3" s="1"/>
  <c r="J593" i="3"/>
  <c r="G594" i="3"/>
  <c r="P594" i="3" s="1"/>
  <c r="Q594" i="3" l="1"/>
  <c r="H594" i="3"/>
  <c r="I594" i="3" l="1"/>
  <c r="C595" i="3"/>
  <c r="R594" i="3"/>
  <c r="K595" i="3" s="1"/>
  <c r="L595" i="3"/>
  <c r="F595" i="3" l="1"/>
  <c r="O595" i="3" s="1"/>
  <c r="G595" i="3"/>
  <c r="P595" i="3" s="1"/>
  <c r="J594" i="3"/>
  <c r="Q595" i="3" l="1"/>
  <c r="L596" i="3" s="1"/>
  <c r="H595" i="3"/>
  <c r="I595" i="3" l="1"/>
  <c r="C596" i="3"/>
  <c r="R595" i="3"/>
  <c r="K596" i="3" s="1"/>
  <c r="F596" i="3" l="1"/>
  <c r="O596" i="3" s="1"/>
  <c r="J595" i="3"/>
  <c r="G596" i="3"/>
  <c r="P596" i="3" s="1"/>
  <c r="Q596" i="3" l="1"/>
  <c r="H596" i="3"/>
  <c r="I596" i="3" l="1"/>
  <c r="C597" i="3"/>
  <c r="R596" i="3"/>
  <c r="K597" i="3" s="1"/>
  <c r="L597" i="3"/>
  <c r="F597" i="3" l="1"/>
  <c r="O597" i="3" s="1"/>
  <c r="G597" i="3"/>
  <c r="P597" i="3" s="1"/>
  <c r="J596" i="3"/>
  <c r="Q597" i="3" l="1"/>
  <c r="L598" i="3" s="1"/>
  <c r="H597" i="3"/>
  <c r="C598" i="3" l="1"/>
  <c r="I597" i="3"/>
  <c r="R597" i="3"/>
  <c r="K598" i="3" s="1"/>
  <c r="F598" i="3" l="1"/>
  <c r="O598" i="3" s="1"/>
  <c r="J597" i="3"/>
  <c r="G598" i="3"/>
  <c r="P598" i="3" s="1"/>
  <c r="H598" i="3" l="1"/>
  <c r="Q598" i="3"/>
  <c r="R598" i="3" l="1"/>
  <c r="K599" i="3" s="1"/>
  <c r="L599" i="3"/>
  <c r="I598" i="3"/>
  <c r="C599" i="3"/>
  <c r="F599" i="3" l="1"/>
  <c r="O599" i="3" s="1"/>
  <c r="J598" i="3"/>
  <c r="G599" i="3"/>
  <c r="P599" i="3" s="1"/>
  <c r="Q599" i="3" l="1"/>
  <c r="L600" i="3" s="1"/>
  <c r="H599" i="3"/>
  <c r="I599" i="3" l="1"/>
  <c r="C600" i="3"/>
  <c r="R599" i="3"/>
  <c r="K600" i="3" s="1"/>
  <c r="F600" i="3" l="1"/>
  <c r="O600" i="3" s="1"/>
  <c r="J599" i="3"/>
  <c r="G600" i="3"/>
  <c r="P600" i="3" s="1"/>
  <c r="Q600" i="3" l="1"/>
  <c r="H600" i="3"/>
  <c r="I600" i="3" l="1"/>
  <c r="C601" i="3"/>
  <c r="R600" i="3"/>
  <c r="K601" i="3" s="1"/>
  <c r="L601" i="3"/>
  <c r="F601" i="3" l="1"/>
  <c r="O601" i="3" s="1"/>
  <c r="J600" i="3"/>
  <c r="G601" i="3"/>
  <c r="P601" i="3" s="1"/>
  <c r="Q601" i="3" l="1"/>
  <c r="L602" i="3" s="1"/>
  <c r="H601" i="3"/>
  <c r="I601" i="3" l="1"/>
  <c r="C602" i="3"/>
  <c r="R601" i="3"/>
  <c r="K602" i="3" s="1"/>
  <c r="F602" i="3" l="1"/>
  <c r="O602" i="3" s="1"/>
  <c r="J601" i="3"/>
  <c r="G602" i="3"/>
  <c r="P602" i="3" s="1"/>
  <c r="Q602" i="3" l="1"/>
  <c r="H602" i="3"/>
  <c r="I602" i="3" l="1"/>
  <c r="C603" i="3"/>
  <c r="R602" i="3"/>
  <c r="K603" i="3" s="1"/>
  <c r="L603" i="3"/>
  <c r="F603" i="3" l="1"/>
  <c r="O603" i="3" s="1"/>
  <c r="J602" i="3"/>
  <c r="G603" i="3"/>
  <c r="P603" i="3" s="1"/>
  <c r="Q603" i="3" l="1"/>
  <c r="L604" i="3" s="1"/>
  <c r="H603" i="3"/>
  <c r="I603" i="3" l="1"/>
  <c r="C604" i="3"/>
  <c r="R603" i="3"/>
  <c r="K604" i="3" s="1"/>
  <c r="F604" i="3" l="1"/>
  <c r="O604" i="3" s="1"/>
  <c r="J603" i="3"/>
  <c r="G604" i="3"/>
  <c r="P604" i="3" s="1"/>
  <c r="Q604" i="3" l="1"/>
  <c r="H604" i="3"/>
  <c r="I604" i="3" l="1"/>
  <c r="C605" i="3"/>
  <c r="R604" i="3"/>
  <c r="K605" i="3" s="1"/>
  <c r="L605" i="3"/>
  <c r="F605" i="3" l="1"/>
  <c r="O605" i="3" s="1"/>
  <c r="J604" i="3"/>
  <c r="G605" i="3"/>
  <c r="P605" i="3" s="1"/>
  <c r="Q605" i="3" l="1"/>
  <c r="L606" i="3" s="1"/>
  <c r="H605" i="3"/>
  <c r="I605" i="3" l="1"/>
  <c r="C606" i="3"/>
  <c r="R605" i="3"/>
  <c r="K606" i="3" s="1"/>
  <c r="F606" i="3" l="1"/>
  <c r="O606" i="3" s="1"/>
  <c r="J605" i="3"/>
  <c r="G606" i="3"/>
  <c r="P606" i="3" s="1"/>
  <c r="Q606" i="3" l="1"/>
  <c r="H606" i="3"/>
  <c r="I606" i="3" l="1"/>
  <c r="C607" i="3"/>
  <c r="R606" i="3"/>
  <c r="K607" i="3" s="1"/>
  <c r="L607" i="3"/>
  <c r="F607" i="3" l="1"/>
  <c r="O607" i="3" s="1"/>
  <c r="J606" i="3"/>
  <c r="G607" i="3"/>
  <c r="P607" i="3" s="1"/>
  <c r="Q607" i="3" l="1"/>
  <c r="L608" i="3" s="1"/>
  <c r="H607" i="3"/>
  <c r="I607" i="3" l="1"/>
  <c r="C608" i="3"/>
  <c r="R607" i="3"/>
  <c r="K608" i="3" s="1"/>
  <c r="F608" i="3" l="1"/>
  <c r="O608" i="3" s="1"/>
  <c r="J607" i="3"/>
  <c r="G608" i="3"/>
  <c r="P608" i="3" s="1"/>
  <c r="Q608" i="3" l="1"/>
  <c r="H608" i="3"/>
  <c r="I608" i="3" l="1"/>
  <c r="C609" i="3"/>
  <c r="R608" i="3"/>
  <c r="K609" i="3" s="1"/>
  <c r="L609" i="3"/>
  <c r="F609" i="3" l="1"/>
  <c r="O609" i="3" s="1"/>
  <c r="J608" i="3"/>
  <c r="G609" i="3"/>
  <c r="P609" i="3" s="1"/>
  <c r="Q609" i="3" l="1"/>
  <c r="L610" i="3" s="1"/>
  <c r="H609" i="3"/>
  <c r="I609" i="3" l="1"/>
  <c r="C610" i="3"/>
  <c r="R609" i="3"/>
  <c r="K610" i="3" s="1"/>
  <c r="F610" i="3" l="1"/>
  <c r="O610" i="3" s="1"/>
  <c r="G610" i="3"/>
  <c r="P610" i="3" s="1"/>
  <c r="J609" i="3"/>
  <c r="Q610" i="3" l="1"/>
  <c r="H610" i="3"/>
  <c r="I610" i="3" l="1"/>
  <c r="C611" i="3"/>
  <c r="R610" i="3"/>
  <c r="K611" i="3" s="1"/>
  <c r="L611" i="3"/>
  <c r="F611" i="3" l="1"/>
  <c r="O611" i="3" s="1"/>
  <c r="J610" i="3"/>
  <c r="G611" i="3"/>
  <c r="P611" i="3" s="1"/>
  <c r="Q611" i="3" l="1"/>
  <c r="L612" i="3" s="1"/>
  <c r="H611" i="3"/>
  <c r="I611" i="3" l="1"/>
  <c r="C612" i="3"/>
  <c r="R611" i="3"/>
  <c r="K612" i="3" s="1"/>
  <c r="F612" i="3" l="1"/>
  <c r="O612" i="3" s="1"/>
  <c r="G612" i="3"/>
  <c r="P612" i="3" s="1"/>
  <c r="J611" i="3"/>
  <c r="Q612" i="3" l="1"/>
  <c r="H612" i="3"/>
  <c r="I612" i="3" l="1"/>
  <c r="C613" i="3"/>
  <c r="R612" i="3"/>
  <c r="K613" i="3" s="1"/>
  <c r="L613" i="3"/>
  <c r="F613" i="3" l="1"/>
  <c r="O613" i="3" s="1"/>
  <c r="J612" i="3"/>
  <c r="G613" i="3"/>
  <c r="P613" i="3" s="1"/>
  <c r="Q613" i="3" l="1"/>
  <c r="L614" i="3" s="1"/>
  <c r="H613" i="3"/>
  <c r="I613" i="3" l="1"/>
  <c r="C614" i="3"/>
  <c r="R613" i="3"/>
  <c r="K614" i="3" s="1"/>
  <c r="F614" i="3" l="1"/>
  <c r="O614" i="3" s="1"/>
  <c r="J613" i="3"/>
  <c r="G614" i="3"/>
  <c r="P614" i="3" s="1"/>
  <c r="Q614" i="3" l="1"/>
  <c r="H614" i="3"/>
  <c r="I614" i="3" l="1"/>
  <c r="C615" i="3"/>
  <c r="R614" i="3"/>
  <c r="K615" i="3" s="1"/>
  <c r="L615" i="3"/>
  <c r="F615" i="3" l="1"/>
  <c r="O615" i="3" s="1"/>
  <c r="J614" i="3"/>
  <c r="G615" i="3"/>
  <c r="P615" i="3" s="1"/>
  <c r="Q615" i="3" l="1"/>
  <c r="L616" i="3" s="1"/>
  <c r="H615" i="3"/>
  <c r="I615" i="3" l="1"/>
  <c r="C616" i="3"/>
  <c r="R615" i="3"/>
  <c r="K616" i="3" s="1"/>
  <c r="F616" i="3" l="1"/>
  <c r="O616" i="3" s="1"/>
  <c r="G616" i="3"/>
  <c r="P616" i="3" s="1"/>
  <c r="J615" i="3"/>
  <c r="Q616" i="3" l="1"/>
  <c r="H616" i="3"/>
  <c r="C617" i="3" l="1"/>
  <c r="I616" i="3"/>
  <c r="R616" i="3"/>
  <c r="K617" i="3" s="1"/>
  <c r="L617" i="3"/>
  <c r="F617" i="3" l="1"/>
  <c r="O617" i="3" s="1"/>
  <c r="J616" i="3"/>
  <c r="G617" i="3"/>
  <c r="P617" i="3" s="1"/>
  <c r="Q617" i="3" l="1"/>
  <c r="L618" i="3" s="1"/>
  <c r="H617" i="3"/>
  <c r="I617" i="3" l="1"/>
  <c r="C618" i="3"/>
  <c r="R617" i="3"/>
  <c r="K618" i="3" s="1"/>
  <c r="F618" i="3" l="1"/>
  <c r="O618" i="3" s="1"/>
  <c r="J617" i="3"/>
  <c r="G618" i="3"/>
  <c r="P618" i="3" s="1"/>
  <c r="Q618" i="3" l="1"/>
  <c r="H618" i="3"/>
  <c r="I618" i="3" l="1"/>
  <c r="C619" i="3"/>
  <c r="R618" i="3"/>
  <c r="K619" i="3" s="1"/>
  <c r="L619" i="3"/>
  <c r="F619" i="3" l="1"/>
  <c r="O619" i="3" s="1"/>
  <c r="J618" i="3"/>
  <c r="G619" i="3"/>
  <c r="P619" i="3" s="1"/>
  <c r="Q619" i="3" l="1"/>
  <c r="L620" i="3" s="1"/>
  <c r="H619" i="3"/>
  <c r="C620" i="3" l="1"/>
  <c r="I619" i="3"/>
  <c r="R619" i="3"/>
  <c r="K620" i="3" s="1"/>
  <c r="F620" i="3" l="1"/>
  <c r="O620" i="3" s="1"/>
  <c r="J619" i="3"/>
  <c r="G620" i="3"/>
  <c r="P620" i="3" s="1"/>
  <c r="H620" i="3" l="1"/>
  <c r="Q620" i="3"/>
  <c r="R620" i="3" l="1"/>
  <c r="K621" i="3" s="1"/>
  <c r="L621" i="3"/>
  <c r="I620" i="3"/>
  <c r="C621" i="3"/>
  <c r="F621" i="3" l="1"/>
  <c r="O621" i="3" s="1"/>
  <c r="J620" i="3"/>
  <c r="G621" i="3"/>
  <c r="P621" i="3" s="1"/>
  <c r="Q621" i="3" l="1"/>
  <c r="L622" i="3" s="1"/>
  <c r="H621" i="3"/>
  <c r="I621" i="3" l="1"/>
  <c r="C622" i="3"/>
  <c r="R621" i="3"/>
  <c r="K622" i="3" s="1"/>
  <c r="F622" i="3" l="1"/>
  <c r="O622" i="3" s="1"/>
  <c r="J621" i="3"/>
  <c r="G622" i="3"/>
  <c r="P622" i="3" s="1"/>
  <c r="Q622" i="3" l="1"/>
  <c r="H622" i="3"/>
  <c r="I622" i="3" l="1"/>
  <c r="C623" i="3"/>
  <c r="R622" i="3"/>
  <c r="K623" i="3" s="1"/>
  <c r="L623" i="3"/>
  <c r="F623" i="3" l="1"/>
  <c r="O623" i="3" s="1"/>
  <c r="J622" i="3"/>
  <c r="G623" i="3"/>
  <c r="P623" i="3" s="1"/>
  <c r="Q623" i="3" l="1"/>
  <c r="L624" i="3" s="1"/>
  <c r="H623" i="3"/>
  <c r="I623" i="3" l="1"/>
  <c r="C624" i="3"/>
  <c r="R623" i="3"/>
  <c r="K624" i="3" s="1"/>
  <c r="F624" i="3" l="1"/>
  <c r="O624" i="3" s="1"/>
  <c r="G624" i="3"/>
  <c r="P624" i="3" s="1"/>
  <c r="J623" i="3"/>
  <c r="Q624" i="3" l="1"/>
  <c r="H624" i="3"/>
  <c r="I624" i="3" l="1"/>
  <c r="C625" i="3"/>
  <c r="R624" i="3"/>
  <c r="K625" i="3" s="1"/>
  <c r="L625" i="3"/>
  <c r="F625" i="3" l="1"/>
  <c r="O625" i="3" s="1"/>
  <c r="J624" i="3"/>
  <c r="G625" i="3"/>
  <c r="P625" i="3" s="1"/>
  <c r="Q625" i="3" l="1"/>
  <c r="L626" i="3" s="1"/>
  <c r="H625" i="3"/>
  <c r="C626" i="3" l="1"/>
  <c r="I625" i="3"/>
  <c r="R625" i="3"/>
  <c r="K626" i="3" s="1"/>
  <c r="F626" i="3" l="1"/>
  <c r="O626" i="3" s="1"/>
  <c r="G626" i="3"/>
  <c r="P626" i="3" s="1"/>
  <c r="J625" i="3"/>
  <c r="H626" i="3" l="1"/>
  <c r="Q626" i="3"/>
  <c r="R626" i="3" l="1"/>
  <c r="K627" i="3" s="1"/>
  <c r="L627" i="3"/>
  <c r="I626" i="3"/>
  <c r="C627" i="3"/>
  <c r="F627" i="3" l="1"/>
  <c r="O627" i="3" s="1"/>
  <c r="J626" i="3"/>
  <c r="G627" i="3"/>
  <c r="P627" i="3" s="1"/>
  <c r="Q627" i="3" l="1"/>
  <c r="L628" i="3" s="1"/>
  <c r="H627" i="3"/>
  <c r="I627" i="3" l="1"/>
  <c r="C628" i="3"/>
  <c r="R627" i="3"/>
  <c r="K628" i="3" s="1"/>
  <c r="F628" i="3" l="1"/>
  <c r="O628" i="3" s="1"/>
  <c r="J627" i="3"/>
  <c r="G628" i="3"/>
  <c r="P628" i="3" s="1"/>
  <c r="Q628" i="3" l="1"/>
  <c r="H628" i="3"/>
  <c r="I628" i="3" l="1"/>
  <c r="C629" i="3"/>
  <c r="R628" i="3"/>
  <c r="K629" i="3" s="1"/>
  <c r="L629" i="3"/>
  <c r="F629" i="3" l="1"/>
  <c r="O629" i="3" s="1"/>
  <c r="J628" i="3"/>
  <c r="G629" i="3"/>
  <c r="P629" i="3" s="1"/>
  <c r="Q629" i="3" l="1"/>
  <c r="L630" i="3" s="1"/>
  <c r="H629" i="3"/>
  <c r="I629" i="3" l="1"/>
  <c r="C630" i="3"/>
  <c r="R629" i="3"/>
  <c r="K630" i="3" s="1"/>
  <c r="F630" i="3" l="1"/>
  <c r="O630" i="3" s="1"/>
  <c r="G630" i="3"/>
  <c r="P630" i="3" s="1"/>
  <c r="J629" i="3"/>
  <c r="Q630" i="3" l="1"/>
  <c r="H630" i="3"/>
  <c r="I630" i="3" l="1"/>
  <c r="C631" i="3"/>
  <c r="R630" i="3"/>
  <c r="K631" i="3" s="1"/>
  <c r="L631" i="3"/>
  <c r="F631" i="3" l="1"/>
  <c r="O631" i="3" s="1"/>
  <c r="J630" i="3"/>
  <c r="G631" i="3"/>
  <c r="P631" i="3" s="1"/>
  <c r="Q631" i="3" l="1"/>
  <c r="L632" i="3" s="1"/>
  <c r="H631" i="3"/>
  <c r="C632" i="3" l="1"/>
  <c r="I631" i="3"/>
  <c r="R631" i="3"/>
  <c r="K632" i="3" s="1"/>
  <c r="F632" i="3" l="1"/>
  <c r="O632" i="3" s="1"/>
  <c r="J631" i="3"/>
  <c r="G632" i="3"/>
  <c r="P632" i="3" s="1"/>
  <c r="H632" i="3" l="1"/>
  <c r="Q632" i="3"/>
  <c r="R632" i="3" l="1"/>
  <c r="K633" i="3" s="1"/>
  <c r="L633" i="3"/>
  <c r="I632" i="3"/>
  <c r="C633" i="3"/>
  <c r="F633" i="3" l="1"/>
  <c r="O633" i="3" s="1"/>
  <c r="J632" i="3"/>
  <c r="G633" i="3"/>
  <c r="P633" i="3" s="1"/>
  <c r="Q633" i="3" l="1"/>
  <c r="L634" i="3" s="1"/>
  <c r="H633" i="3"/>
  <c r="I633" i="3" l="1"/>
  <c r="C634" i="3"/>
  <c r="R633" i="3"/>
  <c r="K634" i="3" s="1"/>
  <c r="F634" i="3" l="1"/>
  <c r="O634" i="3" s="1"/>
  <c r="J633" i="3"/>
  <c r="G634" i="3"/>
  <c r="P634" i="3" s="1"/>
  <c r="Q634" i="3" l="1"/>
  <c r="H634" i="3"/>
  <c r="I634" i="3" l="1"/>
  <c r="C635" i="3"/>
  <c r="L635" i="3"/>
  <c r="R634" i="3"/>
  <c r="K635" i="3" s="1"/>
  <c r="F635" i="3" l="1"/>
  <c r="O635" i="3" s="1"/>
  <c r="J634" i="3"/>
  <c r="G635" i="3"/>
  <c r="P635" i="3" s="1"/>
  <c r="Q635" i="3" l="1"/>
  <c r="L636" i="3" s="1"/>
  <c r="H635" i="3"/>
  <c r="I635" i="3" l="1"/>
  <c r="C636" i="3"/>
  <c r="R635" i="3"/>
  <c r="K636" i="3" s="1"/>
  <c r="F636" i="3" l="1"/>
  <c r="O636" i="3" s="1"/>
  <c r="J635" i="3"/>
  <c r="G636" i="3"/>
  <c r="P636" i="3" s="1"/>
  <c r="H636" i="3" l="1"/>
  <c r="Q636" i="3"/>
  <c r="R636" i="3" l="1"/>
  <c r="K637" i="3" s="1"/>
  <c r="L637" i="3"/>
  <c r="I636" i="3"/>
  <c r="C637" i="3"/>
  <c r="F637" i="3" l="1"/>
  <c r="O637" i="3" s="1"/>
  <c r="G637" i="3"/>
  <c r="P637" i="3" s="1"/>
  <c r="J636" i="3"/>
  <c r="Q637" i="3" l="1"/>
  <c r="L638" i="3" s="1"/>
  <c r="H637" i="3"/>
  <c r="I637" i="3" l="1"/>
  <c r="C638" i="3"/>
  <c r="R637" i="3"/>
  <c r="K638" i="3" s="1"/>
  <c r="F638" i="3" l="1"/>
  <c r="O638" i="3" s="1"/>
  <c r="J637" i="3"/>
  <c r="G638" i="3"/>
  <c r="P638" i="3" s="1"/>
  <c r="Q638" i="3" l="1"/>
  <c r="H638" i="3"/>
  <c r="I638" i="3" l="1"/>
  <c r="C639" i="3"/>
  <c r="L639" i="3"/>
  <c r="R638" i="3"/>
  <c r="K639" i="3" s="1"/>
  <c r="F639" i="3" l="1"/>
  <c r="O639" i="3" s="1"/>
  <c r="J638" i="3"/>
  <c r="G639" i="3"/>
  <c r="P639" i="3" s="1"/>
  <c r="Q639" i="3" l="1"/>
  <c r="L640" i="3" s="1"/>
  <c r="H639" i="3"/>
  <c r="I639" i="3" l="1"/>
  <c r="C640" i="3"/>
  <c r="R639" i="3"/>
  <c r="K640" i="3" s="1"/>
  <c r="F640" i="3" l="1"/>
  <c r="O640" i="3" s="1"/>
  <c r="J639" i="3"/>
  <c r="G640" i="3"/>
  <c r="P640" i="3" s="1"/>
  <c r="Q640" i="3" l="1"/>
  <c r="L641" i="3" s="1"/>
  <c r="H640" i="3"/>
  <c r="I640" i="3" l="1"/>
  <c r="C641" i="3"/>
  <c r="R640" i="3"/>
  <c r="K641" i="3" s="1"/>
  <c r="F641" i="3" l="1"/>
  <c r="O641" i="3" s="1"/>
  <c r="J640" i="3"/>
  <c r="G641" i="3"/>
  <c r="P641" i="3" s="1"/>
  <c r="Q641" i="3" l="1"/>
  <c r="H641" i="3"/>
  <c r="C642" i="3" l="1"/>
  <c r="I641" i="3"/>
  <c r="R641" i="3"/>
  <c r="K642" i="3" s="1"/>
  <c r="L642" i="3"/>
  <c r="F642" i="3" l="1"/>
  <c r="O642" i="3" s="1"/>
  <c r="J641" i="3"/>
  <c r="G642" i="3"/>
  <c r="P642" i="3" s="1"/>
  <c r="Q642" i="3" l="1"/>
  <c r="L643" i="3" s="1"/>
  <c r="H642" i="3"/>
  <c r="I642" i="3" l="1"/>
  <c r="C643" i="3"/>
  <c r="R642" i="3"/>
  <c r="K643" i="3" s="1"/>
  <c r="F643" i="3" l="1"/>
  <c r="O643" i="3" s="1"/>
  <c r="J642" i="3"/>
  <c r="G643" i="3"/>
  <c r="P643" i="3" s="1"/>
  <c r="Q643" i="3" l="1"/>
  <c r="H643" i="3"/>
  <c r="I643" i="3" l="1"/>
  <c r="C644" i="3"/>
  <c r="R643" i="3"/>
  <c r="K644" i="3" s="1"/>
  <c r="L644" i="3"/>
  <c r="F644" i="3" l="1"/>
  <c r="O644" i="3" s="1"/>
  <c r="J643" i="3"/>
  <c r="G644" i="3"/>
  <c r="P644" i="3" s="1"/>
  <c r="Q644" i="3" l="1"/>
  <c r="L645" i="3" s="1"/>
  <c r="H644" i="3"/>
  <c r="I644" i="3" l="1"/>
  <c r="C645" i="3"/>
  <c r="R644" i="3"/>
  <c r="K645" i="3" s="1"/>
  <c r="F645" i="3" l="1"/>
  <c r="O645" i="3" s="1"/>
  <c r="J644" i="3"/>
  <c r="G645" i="3"/>
  <c r="P645" i="3" s="1"/>
  <c r="Q645" i="3" l="1"/>
  <c r="H645" i="3"/>
  <c r="I645" i="3" l="1"/>
  <c r="C646" i="3"/>
  <c r="R645" i="3"/>
  <c r="K646" i="3" s="1"/>
  <c r="L646" i="3"/>
  <c r="F646" i="3" l="1"/>
  <c r="O646" i="3" s="1"/>
  <c r="J645" i="3"/>
  <c r="G646" i="3"/>
  <c r="P646" i="3" s="1"/>
  <c r="Q646" i="3" l="1"/>
  <c r="L647" i="3" s="1"/>
  <c r="H646" i="3"/>
  <c r="I646" i="3" l="1"/>
  <c r="C647" i="3"/>
  <c r="R646" i="3"/>
  <c r="K647" i="3" s="1"/>
  <c r="F647" i="3" l="1"/>
  <c r="O647" i="3" s="1"/>
  <c r="J646" i="3"/>
  <c r="G647" i="3"/>
  <c r="P647" i="3" s="1"/>
  <c r="Q647" i="3" l="1"/>
  <c r="H647" i="3"/>
  <c r="I647" i="3" l="1"/>
  <c r="C648" i="3"/>
  <c r="R647" i="3"/>
  <c r="K648" i="3" s="1"/>
  <c r="L648" i="3"/>
  <c r="F648" i="3" l="1"/>
  <c r="O648" i="3" s="1"/>
  <c r="J647" i="3"/>
  <c r="G648" i="3"/>
  <c r="P648" i="3" s="1"/>
  <c r="Q648" i="3" l="1"/>
  <c r="L649" i="3" s="1"/>
  <c r="H648" i="3"/>
  <c r="I648" i="3" l="1"/>
  <c r="C649" i="3"/>
  <c r="R648" i="3"/>
  <c r="K649" i="3" s="1"/>
  <c r="F649" i="3" l="1"/>
  <c r="O649" i="3" s="1"/>
  <c r="J648" i="3"/>
  <c r="G649" i="3"/>
  <c r="P649" i="3" s="1"/>
  <c r="Q649" i="3" l="1"/>
  <c r="H649" i="3"/>
  <c r="I649" i="3" l="1"/>
  <c r="C650" i="3"/>
  <c r="R649" i="3"/>
  <c r="K650" i="3" s="1"/>
  <c r="L650" i="3"/>
  <c r="F650" i="3" l="1"/>
  <c r="O650" i="3" s="1"/>
  <c r="J649" i="3"/>
  <c r="G650" i="3"/>
  <c r="P650" i="3" s="1"/>
  <c r="Q650" i="3" l="1"/>
  <c r="L651" i="3" s="1"/>
  <c r="H650" i="3"/>
  <c r="I650" i="3" l="1"/>
  <c r="C651" i="3"/>
  <c r="R650" i="3"/>
  <c r="K651" i="3" s="1"/>
  <c r="F651" i="3" l="1"/>
  <c r="O651" i="3" s="1"/>
  <c r="G651" i="3"/>
  <c r="P651" i="3" s="1"/>
  <c r="J650" i="3"/>
  <c r="H651" i="3" l="1"/>
  <c r="Q651" i="3"/>
  <c r="R651" i="3" l="1"/>
  <c r="K652" i="3" s="1"/>
  <c r="L652" i="3"/>
  <c r="I651" i="3"/>
  <c r="C652" i="3"/>
  <c r="F652" i="3" l="1"/>
  <c r="O652" i="3" s="1"/>
  <c r="J651" i="3"/>
  <c r="G652" i="3"/>
  <c r="P652" i="3" s="1"/>
  <c r="Q652" i="3" l="1"/>
  <c r="L653" i="3" s="1"/>
  <c r="H652" i="3"/>
  <c r="I652" i="3" l="1"/>
  <c r="C653" i="3"/>
  <c r="R652" i="3"/>
  <c r="K653" i="3" s="1"/>
  <c r="F653" i="3" l="1"/>
  <c r="O653" i="3" s="1"/>
  <c r="J652" i="3"/>
  <c r="G653" i="3"/>
  <c r="P653" i="3" s="1"/>
  <c r="Q653" i="3" l="1"/>
  <c r="H653" i="3"/>
  <c r="I653" i="3" l="1"/>
  <c r="C654" i="3"/>
  <c r="R653" i="3"/>
  <c r="K654" i="3" s="1"/>
  <c r="L654" i="3"/>
  <c r="F654" i="3" l="1"/>
  <c r="O654" i="3" s="1"/>
  <c r="J653" i="3"/>
  <c r="G654" i="3"/>
  <c r="P654" i="3" s="1"/>
  <c r="Q654" i="3" l="1"/>
  <c r="L655" i="3" s="1"/>
  <c r="H654" i="3"/>
  <c r="C655" i="3" l="1"/>
  <c r="I654" i="3"/>
  <c r="R654" i="3"/>
  <c r="K655" i="3" s="1"/>
  <c r="F655" i="3" l="1"/>
  <c r="O655" i="3" s="1"/>
  <c r="J654" i="3"/>
  <c r="G655" i="3"/>
  <c r="P655" i="3" s="1"/>
  <c r="H655" i="3" l="1"/>
  <c r="Q655" i="3"/>
  <c r="L656" i="3" l="1"/>
  <c r="R655" i="3"/>
  <c r="K656" i="3" s="1"/>
  <c r="C656" i="3"/>
  <c r="I655" i="3"/>
  <c r="F656" i="3" l="1"/>
  <c r="O656" i="3" s="1"/>
  <c r="J655" i="3"/>
  <c r="G656" i="3"/>
  <c r="P656" i="3" s="1"/>
  <c r="Q656" i="3" l="1"/>
  <c r="L657" i="3" s="1"/>
  <c r="H656" i="3"/>
  <c r="I656" i="3" l="1"/>
  <c r="C657" i="3"/>
  <c r="R656" i="3"/>
  <c r="K657" i="3" s="1"/>
  <c r="F657" i="3" l="1"/>
  <c r="O657" i="3" s="1"/>
  <c r="J656" i="3"/>
  <c r="G657" i="3"/>
  <c r="P657" i="3" s="1"/>
  <c r="Q657" i="3" l="1"/>
  <c r="H657" i="3"/>
  <c r="I657" i="3" l="1"/>
  <c r="C658" i="3"/>
  <c r="R657" i="3"/>
  <c r="K658" i="3" s="1"/>
  <c r="L658" i="3"/>
  <c r="F658" i="3" l="1"/>
  <c r="O658" i="3" s="1"/>
  <c r="J657" i="3"/>
  <c r="G658" i="3"/>
  <c r="P658" i="3" s="1"/>
  <c r="Q658" i="3" l="1"/>
  <c r="L659" i="3" s="1"/>
  <c r="H658" i="3"/>
  <c r="I658" i="3" l="1"/>
  <c r="C659" i="3"/>
  <c r="R658" i="3"/>
  <c r="K659" i="3" s="1"/>
  <c r="F659" i="3" l="1"/>
  <c r="O659" i="3" s="1"/>
  <c r="J658" i="3"/>
  <c r="G659" i="3"/>
  <c r="P659" i="3" s="1"/>
  <c r="Q659" i="3" l="1"/>
  <c r="H659" i="3"/>
  <c r="C660" i="3" l="1"/>
  <c r="I659" i="3"/>
  <c r="R659" i="3"/>
  <c r="K660" i="3" s="1"/>
  <c r="L660" i="3"/>
  <c r="F660" i="3" l="1"/>
  <c r="O660" i="3" s="1"/>
  <c r="J659" i="3"/>
  <c r="G660" i="3"/>
  <c r="P660" i="3" s="1"/>
  <c r="Q660" i="3" l="1"/>
  <c r="L661" i="3" s="1"/>
  <c r="H660" i="3"/>
  <c r="I660" i="3" l="1"/>
  <c r="C661" i="3"/>
  <c r="R660" i="3"/>
  <c r="K661" i="3" s="1"/>
  <c r="F661" i="3" l="1"/>
  <c r="O661" i="3" s="1"/>
  <c r="G661" i="3"/>
  <c r="P661" i="3" s="1"/>
  <c r="J660" i="3"/>
  <c r="Q661" i="3" l="1"/>
  <c r="H661" i="3"/>
  <c r="I661" i="3" l="1"/>
  <c r="C662" i="3"/>
  <c r="R661" i="3"/>
  <c r="K662" i="3" s="1"/>
  <c r="L662" i="3"/>
  <c r="F662" i="3" l="1"/>
  <c r="O662" i="3" s="1"/>
  <c r="J661" i="3"/>
  <c r="G662" i="3"/>
  <c r="P662" i="3" s="1"/>
  <c r="Q662" i="3" l="1"/>
  <c r="L663" i="3" s="1"/>
  <c r="H662" i="3"/>
  <c r="I662" i="3" l="1"/>
  <c r="C663" i="3"/>
  <c r="R662" i="3"/>
  <c r="K663" i="3" s="1"/>
  <c r="J662" i="3" l="1"/>
  <c r="G663" i="3"/>
  <c r="P663" i="3" s="1"/>
  <c r="R663" i="3"/>
  <c r="Q663" i="3"/>
  <c r="O663" i="3"/>
  <c r="F663" i="3"/>
  <c r="H663" i="3"/>
  <c r="I663" i="3"/>
  <c r="J663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Jason McBride</author>
  </authors>
  <commentList>
    <comment ref="C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Jason McBride:</t>
        </r>
        <r>
          <rPr>
            <sz val="9"/>
            <color indexed="81"/>
            <rFont val="Tahoma"/>
            <family val="2"/>
          </rPr>
          <t xml:space="preserve">
This calculates how much water is being imported and exported at a monthly granularity</t>
        </r>
      </text>
    </comment>
    <comment ref="K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Jason McBride:</t>
        </r>
        <r>
          <rPr>
            <sz val="9"/>
            <color indexed="81"/>
            <rFont val="Tahoma"/>
            <family val="2"/>
          </rPr>
          <t xml:space="preserve">
Section calculates, based on water inflow and outflows, how much salt is being concentrated vs removed</t>
        </r>
      </text>
    </comment>
    <comment ref="G2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Jason McBride:</t>
        </r>
        <r>
          <rPr>
            <sz val="9"/>
            <color indexed="81"/>
            <rFont val="Tahoma"/>
            <family val="2"/>
          </rPr>
          <t xml:space="preserve">
Assume no water outflows until you have refilled the Salton to desired depth</t>
        </r>
      </text>
    </comment>
    <comment ref="L2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Jason McBride:</t>
        </r>
        <r>
          <rPr>
            <sz val="9"/>
            <color indexed="81"/>
            <rFont val="Tahoma"/>
            <family val="2"/>
          </rPr>
          <t xml:space="preserve">
Total mass of salt in the sea</t>
        </r>
      </text>
    </comment>
    <comment ref="M2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Jason McBride:</t>
        </r>
        <r>
          <rPr>
            <sz val="9"/>
            <color indexed="81"/>
            <rFont val="Tahoma"/>
            <family val="2"/>
          </rPr>
          <t xml:space="preserve">
total salt brought in naturally by the watershed and farm runoff</t>
        </r>
      </text>
    </comment>
    <comment ref="N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Jason McBride:</t>
        </r>
        <r>
          <rPr>
            <sz val="9"/>
            <color indexed="81"/>
            <rFont val="Tahoma"/>
            <family val="2"/>
          </rPr>
          <t xml:space="preserve">
Evaporation only removes water, not salts - hence acting as a concentrating force</t>
        </r>
      </text>
    </comment>
    <comment ref="P2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Jason McBride:</t>
        </r>
        <r>
          <rPr>
            <sz val="9"/>
            <color indexed="81"/>
            <rFont val="Tahoma"/>
            <family val="2"/>
          </rPr>
          <t xml:space="preserve">
Salt is not removed, as outflows are only started once the desired lake level refill has been achieved</t>
        </r>
      </text>
    </comment>
  </commentList>
</comments>
</file>

<file path=xl/sharedStrings.xml><?xml version="1.0" encoding="utf-8"?>
<sst xmlns="http://schemas.openxmlformats.org/spreadsheetml/2006/main" count="355" uniqueCount="280">
  <si>
    <t>Hazen-Williams equation</t>
  </si>
  <si>
    <t>Darcy-Weisbach Equation - Surface Roughness</t>
  </si>
  <si>
    <t>Material</t>
  </si>
  <si>
    <t>Roughness Coefficient</t>
  </si>
  <si>
    <t>e</t>
  </si>
  <si>
    <t>Absolute Roughness Coefficient</t>
  </si>
  <si>
    <t>Aluminum</t>
  </si>
  <si>
    <r>
      <t>- </t>
    </r>
    <r>
      <rPr>
        <b/>
        <i/>
        <sz val="8.8000000000000007"/>
        <color rgb="FF000000"/>
        <rFont val="Arial"/>
        <family val="2"/>
      </rPr>
      <t>k -</t>
    </r>
  </si>
  <si>
    <t>Asbestos Cement</t>
  </si>
  <si>
    <r>
      <t>(10</t>
    </r>
    <r>
      <rPr>
        <b/>
        <i/>
        <vertAlign val="superscript"/>
        <sz val="8.8000000000000007"/>
        <color rgb="FF000000"/>
        <rFont val="Arial"/>
        <family val="2"/>
      </rPr>
      <t>-3</t>
    </r>
    <r>
      <rPr>
        <b/>
        <i/>
        <sz val="8.8000000000000007"/>
        <color rgb="FF000000"/>
        <rFont val="Arial"/>
        <family val="2"/>
      </rPr>
      <t> m)</t>
    </r>
  </si>
  <si>
    <t>(feet)</t>
  </si>
  <si>
    <t>Asphalt Lining</t>
  </si>
  <si>
    <t>Drawn Copper, Lead, Brass, Aluminum (new) and the like</t>
  </si>
  <si>
    <t>0.001 - 0.002</t>
  </si>
  <si>
    <r>
      <t>(3.28 - 6.56) 10</t>
    </r>
    <r>
      <rPr>
        <vertAlign val="superscript"/>
        <sz val="8.8000000000000007"/>
        <color rgb="FF000000"/>
        <rFont val="Arial"/>
        <family val="2"/>
      </rPr>
      <t>-6</t>
    </r>
  </si>
  <si>
    <t>Brass</t>
  </si>
  <si>
    <t>PVC, PE and other smooth Plastic Pipes</t>
  </si>
  <si>
    <t>0.0015 - 0.007</t>
  </si>
  <si>
    <r>
      <t>(0.49 - 2.30) 10</t>
    </r>
    <r>
      <rPr>
        <vertAlign val="superscript"/>
        <sz val="8.8000000000000007"/>
        <color rgb="FF000000"/>
        <rFont val="Arial"/>
        <family val="2"/>
      </rPr>
      <t>-5</t>
    </r>
  </si>
  <si>
    <t>Brick sewer</t>
  </si>
  <si>
    <t>Stainless steel, bead blasted</t>
  </si>
  <si>
    <t>0.001 - 0.006</t>
  </si>
  <si>
    <r>
      <t>(0.00328 - 0.0197) 10</t>
    </r>
    <r>
      <rPr>
        <vertAlign val="superscript"/>
        <sz val="8.8000000000000007"/>
        <color rgb="FF000000"/>
        <rFont val="Arial"/>
        <family val="2"/>
      </rPr>
      <t>-3</t>
    </r>
  </si>
  <si>
    <t>Concrete</t>
  </si>
  <si>
    <t>Stainless steel, turned</t>
  </si>
  <si>
    <t>0.0004 - 0.006</t>
  </si>
  <si>
    <r>
      <t>(0.00131 - 0.0197) 10</t>
    </r>
    <r>
      <rPr>
        <vertAlign val="superscript"/>
        <sz val="8.8000000000000007"/>
        <color rgb="FF000000"/>
        <rFont val="Arial"/>
        <family val="2"/>
      </rPr>
      <t>-3</t>
    </r>
  </si>
  <si>
    <t>Concrete lined, steel forms</t>
  </si>
  <si>
    <t>Stainless steel, electron-polished</t>
  </si>
  <si>
    <t>0.0001 - 0.0008</t>
  </si>
  <si>
    <r>
      <t>(0.000328 - 0.00262) 10</t>
    </r>
    <r>
      <rPr>
        <vertAlign val="superscript"/>
        <sz val="8.8000000000000007"/>
        <color rgb="FF000000"/>
        <rFont val="Arial"/>
        <family val="2"/>
      </rPr>
      <t>-3</t>
    </r>
  </si>
  <si>
    <t>Concrete lined, wooden forms</t>
  </si>
  <si>
    <t>Commercial steel or wrought iron</t>
  </si>
  <si>
    <t>0.045 - 0.09</t>
  </si>
  <si>
    <r>
      <t>(1.48 - 2.95) 10</t>
    </r>
    <r>
      <rPr>
        <vertAlign val="superscript"/>
        <sz val="8.8000000000000007"/>
        <color rgb="FF000000"/>
        <rFont val="Arial"/>
        <family val="2"/>
      </rPr>
      <t>-4</t>
    </r>
  </si>
  <si>
    <t>Concrete, old</t>
  </si>
  <si>
    <t>Stretched steel</t>
  </si>
  <si>
    <r>
      <t>4.95 10</t>
    </r>
    <r>
      <rPr>
        <vertAlign val="superscript"/>
        <sz val="8.8000000000000007"/>
        <color rgb="FF000000"/>
        <rFont val="Arial"/>
        <family val="2"/>
      </rPr>
      <t>-5</t>
    </r>
  </si>
  <si>
    <t>Copper</t>
  </si>
  <si>
    <t>Weld steel</t>
  </si>
  <si>
    <r>
      <t>1.48 10</t>
    </r>
    <r>
      <rPr>
        <vertAlign val="superscript"/>
        <sz val="8.8000000000000007"/>
        <color rgb="FF000000"/>
        <rFont val="Arial"/>
        <family val="2"/>
      </rPr>
      <t>-4</t>
    </r>
  </si>
  <si>
    <t>Corrugated Metal</t>
  </si>
  <si>
    <t>Galvanized steel</t>
  </si>
  <si>
    <r>
      <t>4.92 10</t>
    </r>
    <r>
      <rPr>
        <vertAlign val="superscript"/>
        <sz val="8.8000000000000007"/>
        <color rgb="FF000000"/>
        <rFont val="Arial"/>
        <family val="2"/>
      </rPr>
      <t>-4</t>
    </r>
  </si>
  <si>
    <t>Ductile Iron Pipe (DIP)</t>
  </si>
  <si>
    <t>Rusted steel (corrosion)</t>
  </si>
  <si>
    <t>0.15 - 4</t>
  </si>
  <si>
    <r>
      <t>(4.92 - 131) 10</t>
    </r>
    <r>
      <rPr>
        <vertAlign val="superscript"/>
        <sz val="8.8000000000000007"/>
        <color rgb="FF000000"/>
        <rFont val="Arial"/>
        <family val="2"/>
      </rPr>
      <t>-4</t>
    </r>
  </si>
  <si>
    <t>Fiber</t>
  </si>
  <si>
    <t>New cast iron</t>
  </si>
  <si>
    <t>0.25 - 0.8</t>
  </si>
  <si>
    <r>
      <t>(8.2 - 26.2) 10</t>
    </r>
    <r>
      <rPr>
        <vertAlign val="superscript"/>
        <sz val="8.8000000000000007"/>
        <color rgb="FF000000"/>
        <rFont val="Arial"/>
        <family val="2"/>
      </rPr>
      <t>-4</t>
    </r>
  </si>
  <si>
    <t>Fiber Glass Pipe - FRP</t>
  </si>
  <si>
    <t>Worn cast iron</t>
  </si>
  <si>
    <t>0.8 - 1.5</t>
  </si>
  <si>
    <r>
      <t>(2.62 - 4.92) 10</t>
    </r>
    <r>
      <rPr>
        <vertAlign val="superscript"/>
        <sz val="8.8000000000000007"/>
        <color rgb="FF000000"/>
        <rFont val="Arial"/>
        <family val="2"/>
      </rPr>
      <t>-3</t>
    </r>
  </si>
  <si>
    <t>Galvanized iron</t>
  </si>
  <si>
    <t>Rusty cast iron</t>
  </si>
  <si>
    <t>1.5 - 2.5</t>
  </si>
  <si>
    <r>
      <t>(4.92 - 8.2) 10</t>
    </r>
    <r>
      <rPr>
        <vertAlign val="superscript"/>
        <sz val="8.8000000000000007"/>
        <color rgb="FF000000"/>
        <rFont val="Arial"/>
        <family val="2"/>
      </rPr>
      <t>-3</t>
    </r>
  </si>
  <si>
    <t>Glass</t>
  </si>
  <si>
    <t>Sheet or asphalted cast iron</t>
  </si>
  <si>
    <t>0.01 - 0.015</t>
  </si>
  <si>
    <r>
      <t>(3.28 - 4.92) 10</t>
    </r>
    <r>
      <rPr>
        <vertAlign val="superscript"/>
        <sz val="8.8000000000000007"/>
        <color rgb="FF000000"/>
        <rFont val="Arial"/>
        <family val="2"/>
      </rPr>
      <t>-5</t>
    </r>
  </si>
  <si>
    <t>Metal Pipes - Very to extremely smooth</t>
  </si>
  <si>
    <t>Smoothed cement</t>
  </si>
  <si>
    <r>
      <t>0.98 10</t>
    </r>
    <r>
      <rPr>
        <vertAlign val="superscript"/>
        <sz val="8.8000000000000007"/>
        <color rgb="FF000000"/>
        <rFont val="Arial"/>
        <family val="2"/>
      </rPr>
      <t>-3</t>
    </r>
  </si>
  <si>
    <t>Plastic</t>
  </si>
  <si>
    <t>Ordinary concrete</t>
  </si>
  <si>
    <t>0.3 - 1</t>
  </si>
  <si>
    <r>
      <t>(0.98 - 3.28) 10</t>
    </r>
    <r>
      <rPr>
        <vertAlign val="superscript"/>
        <sz val="8.8000000000000007"/>
        <color rgb="FF000000"/>
        <rFont val="Arial"/>
        <family val="2"/>
      </rPr>
      <t>-3</t>
    </r>
  </si>
  <si>
    <t>Polyethylene, PE, PEH</t>
  </si>
  <si>
    <t>Coarse concrete</t>
  </si>
  <si>
    <t>0.3 - 5</t>
  </si>
  <si>
    <r>
      <t>(0.98 - 16.4) 10</t>
    </r>
    <r>
      <rPr>
        <vertAlign val="superscript"/>
        <sz val="8.8000000000000007"/>
        <color rgb="FF000000"/>
        <rFont val="Arial"/>
        <family val="2"/>
      </rPr>
      <t>-3</t>
    </r>
  </si>
  <si>
    <t>Polyvinyl chloride, PVC, CPVC</t>
  </si>
  <si>
    <t>Wood stove</t>
  </si>
  <si>
    <t>0.18 - 0.9</t>
  </si>
  <si>
    <t>Smooth Pipes</t>
  </si>
  <si>
    <t>Well planed wood</t>
  </si>
  <si>
    <r>
      <t>(5.9 - 29.5) 10</t>
    </r>
    <r>
      <rPr>
        <vertAlign val="superscript"/>
        <sz val="8.8000000000000007"/>
        <color rgb="FF000000"/>
        <rFont val="Arial"/>
        <family val="2"/>
      </rPr>
      <t>-4</t>
    </r>
  </si>
  <si>
    <t>Steel new unlined</t>
  </si>
  <si>
    <t>Ordinary wood</t>
  </si>
  <si>
    <r>
      <t>16.4 10</t>
    </r>
    <r>
      <rPr>
        <vertAlign val="superscript"/>
        <sz val="8.8000000000000007"/>
        <color rgb="FF000000"/>
        <rFont val="Arial"/>
        <family val="2"/>
      </rPr>
      <t>-3</t>
    </r>
  </si>
  <si>
    <t>Steel, corrugated</t>
  </si>
  <si>
    <t>Steel, welded and seamless</t>
  </si>
  <si>
    <t>Steel, projecting girth and horizontal rivets</t>
  </si>
  <si>
    <t>Tin</t>
  </si>
  <si>
    <t>Vitrified Clay</t>
  </si>
  <si>
    <t>Wrought iron, plain</t>
  </si>
  <si>
    <t>Wooden or Masonry Pipe - Smooth</t>
  </si>
  <si>
    <r>
      <t>E2</t>
    </r>
    <r>
      <rPr>
        <sz val="72"/>
        <color theme="9"/>
        <rFont val="Calibri"/>
        <family val="2"/>
      </rPr>
      <t xml:space="preserve">EDEN </t>
    </r>
    <r>
      <rPr>
        <sz val="72"/>
        <color theme="1"/>
        <rFont val="Calibri"/>
        <family val="2"/>
      </rPr>
      <t>LLC</t>
    </r>
  </si>
  <si>
    <t>SALTON SEA - HYDROLOGICAL DATA MODEL</t>
  </si>
  <si>
    <t>A PHYSICS &amp; FIRST PRINCIPLES APPROACH</t>
  </si>
  <si>
    <r>
      <rPr>
        <b/>
        <sz val="11"/>
        <color theme="1"/>
        <rFont val="Calibri"/>
        <family val="2"/>
        <scheme val="minor"/>
      </rPr>
      <t>GOAL:</t>
    </r>
    <r>
      <rPr>
        <sz val="11"/>
        <color theme="1"/>
        <rFont val="Calibri"/>
        <family val="2"/>
        <scheme val="minor"/>
      </rPr>
      <t xml:space="preserve"> To wholistically address the issues of the Salton, to import water for </t>
    </r>
    <r>
      <rPr>
        <b/>
        <u/>
        <sz val="11"/>
        <color theme="1"/>
        <rFont val="Calibri"/>
        <family val="2"/>
        <scheme val="minor"/>
      </rPr>
      <t>MITIGATION</t>
    </r>
    <r>
      <rPr>
        <sz val="11"/>
        <color theme="1"/>
        <rFont val="Calibri"/>
        <family val="2"/>
        <scheme val="minor"/>
      </rPr>
      <t xml:space="preserve">, and export brine for </t>
    </r>
    <r>
      <rPr>
        <b/>
        <u/>
        <sz val="11"/>
        <color theme="1"/>
        <rFont val="Calibri"/>
        <family val="2"/>
        <scheme val="minor"/>
      </rPr>
      <t>RESTORATION</t>
    </r>
  </si>
  <si>
    <t>SYSTEM MODEL</t>
  </si>
  <si>
    <t>Energy Production</t>
  </si>
  <si>
    <t>Energy Consumption</t>
  </si>
  <si>
    <t>COLOR KEY</t>
  </si>
  <si>
    <t>Assumptions/Variables that can be edited</t>
  </si>
  <si>
    <t>Dependent, calculated variables</t>
  </si>
  <si>
    <t>Assumptions/Variables with outsized impact on system</t>
  </si>
  <si>
    <t>Important derivations</t>
  </si>
  <si>
    <t>LOGIC FLOW</t>
  </si>
  <si>
    <t>HYDROLOGICAL SYSTEM</t>
  </si>
  <si>
    <t>m3/yr</t>
  </si>
  <si>
    <t>m3/s</t>
  </si>
  <si>
    <t>acre-feet/yr</t>
  </si>
  <si>
    <t>cf/yr</t>
  </si>
  <si>
    <t>cf/s</t>
  </si>
  <si>
    <t>gal/s</t>
  </si>
  <si>
    <t>Evaporation</t>
  </si>
  <si>
    <t>Watershed Freshwater Inflows</t>
  </si>
  <si>
    <t>Net Water Loss</t>
  </si>
  <si>
    <t>km2</t>
  </si>
  <si>
    <t>m2</t>
  </si>
  <si>
    <t>mi2</t>
  </si>
  <si>
    <t>ft2</t>
  </si>
  <si>
    <t>Sea Surface Area (Current)</t>
  </si>
  <si>
    <t>Sea Surface Area (Filled)</t>
  </si>
  <si>
    <t>%</t>
  </si>
  <si>
    <t>g/L</t>
  </si>
  <si>
    <t>Sea Starting Salinity</t>
  </si>
  <si>
    <t>Watershed Freshwater Salinity</t>
  </si>
  <si>
    <t>Ocean saltwater</t>
  </si>
  <si>
    <t>kg/m3</t>
  </si>
  <si>
    <t>Specific Gravity of Ocean saltwater</t>
  </si>
  <si>
    <t>Specific Gravity of Salton (current) saltwater</t>
  </si>
  <si>
    <t>m</t>
  </si>
  <si>
    <t>ft</t>
  </si>
  <si>
    <t>Sea Avg Depth (Current)</t>
  </si>
  <si>
    <t>Target Avg Depth (Full)</t>
  </si>
  <si>
    <t>Sea height below sea level</t>
  </si>
  <si>
    <t>km3</t>
  </si>
  <si>
    <t>m3</t>
  </si>
  <si>
    <t>liters (millions)</t>
  </si>
  <si>
    <t>acre-feet</t>
  </si>
  <si>
    <t>ft3</t>
  </si>
  <si>
    <t>gal (millions)</t>
  </si>
  <si>
    <t>Sea Volume (Current)</t>
  </si>
  <si>
    <t>Sea Volume (Filled)</t>
  </si>
  <si>
    <t>TUNNEL SPECS</t>
  </si>
  <si>
    <t>km</t>
  </si>
  <si>
    <t>mi</t>
  </si>
  <si>
    <t>Tunnel Length</t>
  </si>
  <si>
    <t>Pipe Diameter</t>
  </si>
  <si>
    <t>FLOW RATE PER TUNNEL</t>
  </si>
  <si>
    <t xml:space="preserve">FLOW RATE APPROXIMATION UNDER GRAVITY  (empirical) </t>
  </si>
  <si>
    <t>v = k * C * R^0.63 * S^0.54</t>
  </si>
  <si>
    <t>Conversion Factor ( k )</t>
  </si>
  <si>
    <t>Roughness Coefficient ( C )</t>
  </si>
  <si>
    <t xml:space="preserve">Hydraulic Radius ( R ) </t>
  </si>
  <si>
    <t>Pipe Length</t>
  </si>
  <si>
    <t>Drop</t>
  </si>
  <si>
    <t>Slope ( S )</t>
  </si>
  <si>
    <t>m/s</t>
  </si>
  <si>
    <t>ft/s</t>
  </si>
  <si>
    <t>Flow Velocity ( v )</t>
  </si>
  <si>
    <t>ft3/s</t>
  </si>
  <si>
    <t>Flow Discharge</t>
  </si>
  <si>
    <t>FRICTION LOSS</t>
  </si>
  <si>
    <r>
      <t>h</t>
    </r>
    <r>
      <rPr>
        <vertAlign val="subscript"/>
        <sz val="12"/>
        <color rgb="FF000000"/>
        <rFont val="Arial"/>
        <family val="2"/>
      </rPr>
      <t>loss</t>
    </r>
    <r>
      <rPr>
        <sz val="12"/>
        <color rgb="FF000000"/>
        <rFont val="Arial"/>
        <family val="2"/>
      </rPr>
      <t> = Σ h</t>
    </r>
    <r>
      <rPr>
        <vertAlign val="subscript"/>
        <sz val="12"/>
        <color rgb="FF000000"/>
        <rFont val="Arial"/>
        <family val="2"/>
      </rPr>
      <t>major_losses</t>
    </r>
    <r>
      <rPr>
        <sz val="12"/>
        <color rgb="FF000000"/>
        <rFont val="Arial"/>
        <family val="2"/>
      </rPr>
      <t> + Σ h</t>
    </r>
    <r>
      <rPr>
        <vertAlign val="subscript"/>
        <sz val="12"/>
        <color rgb="FF000000"/>
        <rFont val="Arial"/>
        <family val="2"/>
      </rPr>
      <t>minor_losses</t>
    </r>
  </si>
  <si>
    <t xml:space="preserve">Assuming straight line of flow, no minor head loss, major head loss only. </t>
  </si>
  <si>
    <t>HEAD LOSS (empirical)</t>
  </si>
  <si>
    <t>Darcy-Weisbach Equation</t>
  </si>
  <si>
    <t xml:space="preserve">ΔP = (f * L * V^2 * ρ) / (2 * D)          </t>
  </si>
  <si>
    <t>Pressure loss</t>
  </si>
  <si>
    <t xml:space="preserve">ΔH = (f * L * V^2 * ρ) / (2 * D) / ρw*g         </t>
  </si>
  <si>
    <t>Head loss</t>
  </si>
  <si>
    <t>SI</t>
  </si>
  <si>
    <r>
      <t xml:space="preserve">Friction Coefficient ( </t>
    </r>
    <r>
      <rPr>
        <b/>
        <sz val="11"/>
        <color theme="1"/>
        <rFont val="Calibri"/>
        <family val="2"/>
        <scheme val="minor"/>
      </rPr>
      <t xml:space="preserve">f </t>
    </r>
    <r>
      <rPr>
        <sz val="11"/>
        <color theme="1"/>
        <rFont val="Calibri"/>
        <family val="2"/>
        <scheme val="minor"/>
      </rPr>
      <t>)</t>
    </r>
  </si>
  <si>
    <r>
      <t>Length of pipe or duct (</t>
    </r>
    <r>
      <rPr>
        <b/>
        <sz val="11"/>
        <color theme="1"/>
        <rFont val="Calibri"/>
        <family val="2"/>
        <scheme val="minor"/>
      </rPr>
      <t xml:space="preserve"> L</t>
    </r>
    <r>
      <rPr>
        <sz val="11"/>
        <color theme="1"/>
        <rFont val="Calibri"/>
        <family val="2"/>
        <scheme val="minor"/>
      </rPr>
      <t xml:space="preserve"> ) - m</t>
    </r>
  </si>
  <si>
    <r>
      <t xml:space="preserve">Velocity of fluid ( </t>
    </r>
    <r>
      <rPr>
        <b/>
        <sz val="11"/>
        <color theme="1"/>
        <rFont val="Calibri"/>
        <family val="2"/>
        <scheme val="minor"/>
      </rPr>
      <t>v</t>
    </r>
    <r>
      <rPr>
        <sz val="11"/>
        <color theme="1"/>
        <rFont val="Calibri"/>
        <family val="2"/>
        <scheme val="minor"/>
      </rPr>
      <t xml:space="preserve"> ) - m/s</t>
    </r>
  </si>
  <si>
    <r>
      <t xml:space="preserve">Hydraulic diameter ( </t>
    </r>
    <r>
      <rPr>
        <b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> ) - m</t>
    </r>
  </si>
  <si>
    <r>
      <t xml:space="preserve">Density of fluid ( </t>
    </r>
    <r>
      <rPr>
        <b/>
        <sz val="11"/>
        <color theme="1"/>
        <rFont val="Calibri"/>
        <family val="2"/>
        <scheme val="minor"/>
      </rPr>
      <t>ρ</t>
    </r>
    <r>
      <rPr>
        <vertAlign val="subscript"/>
        <sz val="11"/>
        <color rgb="FF000000"/>
        <rFont val="Calibri"/>
        <family val="2"/>
        <scheme val="minor"/>
      </rPr>
      <t xml:space="preserve"> </t>
    </r>
    <r>
      <rPr>
        <sz val="11"/>
        <color rgb="FF000000"/>
        <rFont val="Calibri"/>
        <family val="2"/>
        <scheme val="minor"/>
      </rPr>
      <t>) - kg/m</t>
    </r>
    <r>
      <rPr>
        <vertAlign val="superscript"/>
        <sz val="11"/>
        <color rgb="FF000000"/>
        <rFont val="Calibri"/>
        <family val="2"/>
        <scheme val="minor"/>
      </rPr>
      <t>3</t>
    </r>
  </si>
  <si>
    <r>
      <t xml:space="preserve">Acceleration of Gravity ( </t>
    </r>
    <r>
      <rPr>
        <b/>
        <sz val="11"/>
        <color theme="1"/>
        <rFont val="Calibri"/>
        <family val="2"/>
        <scheme val="minor"/>
      </rPr>
      <t>g</t>
    </r>
    <r>
      <rPr>
        <sz val="11"/>
        <color theme="1"/>
        <rFont val="Calibri"/>
        <family val="2"/>
        <scheme val="minor"/>
      </rPr>
      <t xml:space="preserve"> ) - m/s2</t>
    </r>
  </si>
  <si>
    <r>
      <t xml:space="preserve">Pressure loss ( </t>
    </r>
    <r>
      <rPr>
        <b/>
        <sz val="11"/>
        <color theme="1"/>
        <rFont val="Calibri"/>
        <family val="2"/>
        <scheme val="minor"/>
      </rPr>
      <t xml:space="preserve">ΔP </t>
    </r>
    <r>
      <rPr>
        <sz val="11"/>
        <color theme="1"/>
        <rFont val="Calibri"/>
        <family val="2"/>
        <scheme val="minor"/>
      </rPr>
      <t>) - Pa (N/m2)</t>
    </r>
  </si>
  <si>
    <r>
      <t xml:space="preserve">Pressure loss ( </t>
    </r>
    <r>
      <rPr>
        <b/>
        <sz val="11"/>
        <color theme="1"/>
        <rFont val="Calibri"/>
        <family val="2"/>
        <scheme val="minor"/>
      </rPr>
      <t xml:space="preserve">ΔP </t>
    </r>
    <r>
      <rPr>
        <sz val="11"/>
        <color theme="1"/>
        <rFont val="Calibri"/>
        <family val="2"/>
        <scheme val="minor"/>
      </rPr>
      <t>) - bar</t>
    </r>
  </si>
  <si>
    <r>
      <t xml:space="preserve">Head Loss ( </t>
    </r>
    <r>
      <rPr>
        <b/>
        <sz val="11"/>
        <color theme="1"/>
        <rFont val="Calibri"/>
        <family val="2"/>
        <scheme val="minor"/>
      </rPr>
      <t>ΔH</t>
    </r>
    <r>
      <rPr>
        <sz val="11"/>
        <color theme="1"/>
        <rFont val="Calibri"/>
        <family val="2"/>
        <scheme val="minor"/>
      </rPr>
      <t xml:space="preserve"> ) - m</t>
    </r>
  </si>
  <si>
    <r>
      <t xml:space="preserve">Head Loss ( </t>
    </r>
    <r>
      <rPr>
        <b/>
        <sz val="11"/>
        <color theme="1"/>
        <rFont val="Calibri"/>
        <family val="2"/>
        <scheme val="minor"/>
      </rPr>
      <t>ΔH</t>
    </r>
    <r>
      <rPr>
        <sz val="11"/>
        <color theme="1"/>
        <rFont val="Calibri"/>
        <family val="2"/>
        <scheme val="minor"/>
      </rPr>
      <t xml:space="preserve"> ) - % of total Head</t>
    </r>
  </si>
  <si>
    <t xml:space="preserve">*NOTE - this is used to determine if, and how much hydropower could theoretically be availble. If head loss is greater than available head, then no hydropower is generated. </t>
  </si>
  <si>
    <t>Red variables indicate original sourced values</t>
  </si>
  <si>
    <t>SYSTEM CONFIGURATION VARIABLES</t>
  </si>
  <si>
    <t>PHASE 1 options - just refill</t>
  </si>
  <si>
    <t>PHASE 2 options - pump out and circulate the sea</t>
  </si>
  <si>
    <r>
      <t xml:space="preserve">% of </t>
    </r>
    <r>
      <rPr>
        <b/>
        <sz val="11"/>
        <color theme="1"/>
        <rFont val="Calibri"/>
        <family val="2"/>
        <scheme val="minor"/>
      </rPr>
      <t>Current</t>
    </r>
    <r>
      <rPr>
        <sz val="11"/>
        <color theme="1"/>
        <rFont val="Calibri"/>
        <family val="2"/>
        <scheme val="minor"/>
      </rPr>
      <t xml:space="preserve"> Lake Volume Cycled / yr</t>
    </r>
  </si>
  <si>
    <t>*to bring down salinity, add more pipeline capacity through 
(a) more tunnels, 
(b) larger tunnels, or 
( c) smoother tunnels</t>
  </si>
  <si>
    <t>Number of Tunnels inflow</t>
  </si>
  <si>
    <t>Number of Tunnels outflow</t>
  </si>
  <si>
    <t>Financial Details</t>
  </si>
  <si>
    <t>Tunnel Cost ($/mi)</t>
  </si>
  <si>
    <t>Cost per Tunnel ($)</t>
  </si>
  <si>
    <r>
      <t xml:space="preserve">% of </t>
    </r>
    <r>
      <rPr>
        <b/>
        <sz val="11"/>
        <color theme="1"/>
        <rFont val="Calibri"/>
        <family val="2"/>
        <scheme val="minor"/>
      </rPr>
      <t>Filled</t>
    </r>
    <r>
      <rPr>
        <sz val="11"/>
        <color theme="1"/>
        <rFont val="Calibri"/>
        <family val="2"/>
        <scheme val="minor"/>
      </rPr>
      <t xml:space="preserve"> Lake Volume Cycled / yr</t>
    </r>
  </si>
  <si>
    <t>Net Natural Water Loss</t>
  </si>
  <si>
    <t>Total Cost for all Tunnels ($)</t>
  </si>
  <si>
    <t>Assumed</t>
  </si>
  <si>
    <t>upper limit</t>
  </si>
  <si>
    <t>Hydropower Turbine Efficiency</t>
  </si>
  <si>
    <t>Pump Efficiency</t>
  </si>
  <si>
    <t>Energy Transmission Efficiency</t>
  </si>
  <si>
    <t>Electricity Wholesale Rate ($/MWh)</t>
  </si>
  <si>
    <t>PHASE 1 options</t>
  </si>
  <si>
    <t xml:space="preserve">Inflow </t>
  </si>
  <si>
    <t>Outflow</t>
  </si>
  <si>
    <t>PHASE 2 options</t>
  </si>
  <si>
    <t>Inflow</t>
  </si>
  <si>
    <t>PHASE 1 + PHASE 2</t>
  </si>
  <si>
    <t>TOTAL</t>
  </si>
  <si>
    <t>Pipeline Capacity Used to Maintain System Equilibrium</t>
  </si>
  <si>
    <t>Outflow (Inflow capacity - evaporation)</t>
  </si>
  <si>
    <t>DEDUCTIONS/DERIVATIONS (AT STEADY STATE)</t>
  </si>
  <si>
    <t>HYDRO POWER GENERATION (with head loss)</t>
  </si>
  <si>
    <t>U = m * g * h</t>
  </si>
  <si>
    <t>Net Head (m)</t>
  </si>
  <si>
    <t>Capacity excl. head &amp; turbine efficiency loss (MW)</t>
  </si>
  <si>
    <t>Capacity incl. head &amp; turbine efficiency loss (MW)</t>
  </si>
  <si>
    <t>Energy Production (MWh/yr)</t>
  </si>
  <si>
    <t>Market Value ($/yr)</t>
  </si>
  <si>
    <t>PUMPING ENERGY EXPENDITURE (with head loss)</t>
  </si>
  <si>
    <t>Capacity excl. head &amp; pump efficiency loss (MW)</t>
  </si>
  <si>
    <t>Capacity incl. head &amp; pump efficiency loss (MW)</t>
  </si>
  <si>
    <t>Energy Cost (MWh/yr)</t>
  </si>
  <si>
    <t>Energy Cost ($/yr)</t>
  </si>
  <si>
    <t>Net Market Value ($/yr)</t>
  </si>
  <si>
    <t>TOTAL Market Value ($/yr)</t>
  </si>
  <si>
    <t>CHARTS</t>
  </si>
  <si>
    <t>Inflow by Type</t>
  </si>
  <si>
    <t>Outflow by Tyoe</t>
  </si>
  <si>
    <t>Freshwater</t>
  </si>
  <si>
    <t>Seawater</t>
  </si>
  <si>
    <t>Brine</t>
  </si>
  <si>
    <t>Tunnel Inflow vs Outflow</t>
  </si>
  <si>
    <t>Inflows to Outflows Ratio</t>
  </si>
  <si>
    <t>Tunnel Inflow</t>
  </si>
  <si>
    <t>Watershed Inflows</t>
  </si>
  <si>
    <t>Tunnel Outflow</t>
  </si>
  <si>
    <t>Seawater Inflow</t>
  </si>
  <si>
    <t>Brine Outflow</t>
  </si>
  <si>
    <t>Max Annual Flows as Percent of Total Volume</t>
  </si>
  <si>
    <t>Inflows</t>
  </si>
  <si>
    <t>Tunnel + Watershed Annual Flows as Percent of Total Volume</t>
  </si>
  <si>
    <t>Outflows</t>
  </si>
  <si>
    <t>Tunnel Throughput as % of Max Theoretical</t>
  </si>
  <si>
    <t>Time</t>
  </si>
  <si>
    <t>Water</t>
  </si>
  <si>
    <t>Salts</t>
  </si>
  <si>
    <t>Year</t>
  </si>
  <si>
    <t>Month</t>
  </si>
  <si>
    <t>Starting Volume</t>
  </si>
  <si>
    <t>Watershed Inflow (m3/month)</t>
  </si>
  <si>
    <t>Evaporation (m3/month)</t>
  </si>
  <si>
    <t>Tunnel Inflow (m3/month)</t>
  </si>
  <si>
    <t>Tunnel Outflow (m3/month)</t>
  </si>
  <si>
    <t>Total Water Volume (m3)</t>
  </si>
  <si>
    <t>Sea Avg Depth (m)</t>
  </si>
  <si>
    <t>Distance below Sea level (m)</t>
  </si>
  <si>
    <t>Starting Salinity (g/L)</t>
  </si>
  <si>
    <t>Starting Volume (kg)</t>
  </si>
  <si>
    <t>Watershed Inflow (kg/month)</t>
  </si>
  <si>
    <t>Evaporation (kg/month)</t>
  </si>
  <si>
    <t>Tunnel Inflow (kg/month)</t>
  </si>
  <si>
    <t>Tunnel Outflow (kg/month)</t>
  </si>
  <si>
    <t>Total Salt Volume (kg)</t>
  </si>
  <si>
    <t>Resultant Salinity (g/L)</t>
  </si>
  <si>
    <t>Target  Salinity (g/L)</t>
  </si>
  <si>
    <t>APPENDIX</t>
  </si>
  <si>
    <t>*Manual calculation of Salton Sea surface area to independently corroborate online sources regarding current area, as well as potential future surface area</t>
  </si>
  <si>
    <t>Count</t>
  </si>
  <si>
    <t>Total</t>
  </si>
  <si>
    <t>Surface Area</t>
  </si>
  <si>
    <t>Assumption</t>
  </si>
  <si>
    <t>Value</t>
  </si>
  <si>
    <t>Source</t>
  </si>
  <si>
    <t>https://www.iid.com/home/showdocument?id=17299#:~:text=The%20open%20water%20surface%20evaporation,System%20%5BCIMIS%5D%202012).</t>
  </si>
  <si>
    <t>Salton Sea Surface Area (current)</t>
  </si>
  <si>
    <t>https://saltonsea.com/get-informed/facts/</t>
  </si>
  <si>
    <t>Salton Sea Avg Depth (Current)</t>
  </si>
  <si>
    <t>Salton Sea distance below sea level</t>
  </si>
  <si>
    <t>Salton Sea Starting Salinity</t>
  </si>
  <si>
    <t>Pacific Seawater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</si>
</sst>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??_);_(@_)"/>
    <numFmt numFmtId="165" formatCode="0.0"/>
    <numFmt numFmtId="166" formatCode="#,##0.0"/>
    <numFmt numFmtId="167" formatCode="&quot;$&quot;#,##0.00"/>
    <numFmt numFmtId="168" formatCode="&quot;$&quot;#,##0"/>
    <numFmt numFmtId="169" formatCode="0.0%"/>
    <numFmt numFmtId="170" formatCode="0.000"/>
    <numFmt numFmtId="171" formatCode="0.000000"/>
    <numFmt numFmtId="172" formatCode="#,##0.000000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sz val="14"/>
      <color theme="4" tint="-0.499984740745262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36"/>
      <color rgb="FF0070C0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vertAlign val="subscript"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sz val="8.8000000000000007"/>
      <color rgb="FF000000"/>
      <name val="Arial"/>
      <family val="2"/>
    </font>
    <font>
      <b/>
      <sz val="8.8000000000000007"/>
      <color rgb="FF000000"/>
      <name val="Arial"/>
      <family val="2"/>
    </font>
    <font>
      <b/>
      <i/>
      <sz val="8.8000000000000007"/>
      <color rgb="FF000000"/>
      <name val="Arial"/>
      <family val="2"/>
    </font>
    <font>
      <b/>
      <i/>
      <vertAlign val="superscript"/>
      <sz val="8.8000000000000007"/>
      <color rgb="FF000000"/>
      <name val="Arial"/>
      <family val="2"/>
    </font>
    <font>
      <vertAlign val="superscript"/>
      <sz val="8.8000000000000007"/>
      <color rgb="FF000000"/>
      <name val="Arial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Arial"/>
      <family val="2"/>
    </font>
    <font>
      <b/>
      <sz val="11"/>
      <name val="Calibri"/>
      <family val="2"/>
      <scheme val="minor"/>
    </font>
    <font>
      <sz val="12"/>
      <color rgb="FF000000"/>
      <name val="Arial"/>
      <family val="2"/>
    </font>
    <font>
      <vertAlign val="subscript"/>
      <sz val="12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72"/>
      <color theme="1"/>
      <name val="Calibri"/>
      <family val="2"/>
    </font>
    <font>
      <sz val="72"/>
      <color theme="9"/>
      <name val="Calibri"/>
      <family val="2"/>
    </font>
    <font>
      <i/>
      <sz val="22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6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ck">
        <color rgb="FFC0C0C0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thick">
        <color rgb="FFC0C0C0"/>
      </right>
      <top style="medium">
        <color rgb="FFCCCCCC"/>
      </top>
      <bottom style="medium">
        <color rgb="FFCCCCCC"/>
      </bottom>
      <diagonal/>
    </border>
    <border>
      <left style="thick">
        <color rgb="FFC0C0C0"/>
      </left>
      <right style="medium">
        <color rgb="FFCCCCCC"/>
      </right>
      <top style="medium">
        <color rgb="FFCCCCCC"/>
      </top>
      <bottom style="thick">
        <color rgb="FFC0C0C0"/>
      </bottom>
      <diagonal/>
    </border>
    <border>
      <left style="medium">
        <color rgb="FFCCCCCC"/>
      </left>
      <right style="thick">
        <color rgb="FFC0C0C0"/>
      </right>
      <top style="medium">
        <color rgb="FFCCCCCC"/>
      </top>
      <bottom style="thick">
        <color rgb="FFC0C0C0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C0C0C0"/>
      </left>
      <right/>
      <top/>
      <bottom style="medium">
        <color rgb="FFC0C0C0"/>
      </bottom>
      <diagonal/>
    </border>
    <border>
      <left style="thick">
        <color rgb="FFC0C0C0"/>
      </left>
      <right style="medium">
        <color rgb="FFC0C0C0"/>
      </right>
      <top style="thick">
        <color rgb="FFC0C0C0"/>
      </top>
      <bottom/>
      <diagonal/>
    </border>
    <border>
      <left style="medium">
        <color rgb="FFC0C0C0"/>
      </left>
      <right/>
      <top style="thick">
        <color rgb="FFC0C0C0"/>
      </top>
      <bottom/>
      <diagonal/>
    </border>
    <border>
      <left/>
      <right style="thick">
        <color rgb="FFC0C0C0"/>
      </right>
      <top style="thick">
        <color rgb="FFC0C0C0"/>
      </top>
      <bottom/>
      <diagonal/>
    </border>
    <border>
      <left style="thick">
        <color rgb="FFC0C0C0"/>
      </left>
      <right style="medium">
        <color rgb="FFC0C0C0"/>
      </right>
      <top/>
      <bottom/>
      <diagonal/>
    </border>
    <border>
      <left/>
      <right style="thick">
        <color rgb="FFC0C0C0"/>
      </right>
      <top/>
      <bottom style="medium">
        <color rgb="FFC0C0C0"/>
      </bottom>
      <diagonal/>
    </border>
    <border>
      <left style="thick">
        <color rgb="FFC0C0C0"/>
      </left>
      <right style="medium">
        <color rgb="FFC0C0C0"/>
      </right>
      <top/>
      <bottom style="medium">
        <color rgb="FFC0C0C0"/>
      </bottom>
      <diagonal/>
    </border>
    <border>
      <left style="medium">
        <color rgb="FFC0C0C0"/>
      </left>
      <right style="thick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thick">
        <color rgb="FFC0C0C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64">
    <xf numFmtId="0" fontId="0" fillId="0" borderId="0" xfId="0"/>
    <xf numFmtId="0" fontId="0" fillId="0" borderId="1" xfId="0" applyBorder="1" applyAlignment="1">
      <alignment horizontal="center"/>
    </xf>
    <xf numFmtId="3" fontId="2" fillId="2" borderId="0" xfId="1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/>
    <xf numFmtId="0" fontId="3" fillId="0" borderId="0" xfId="0" applyFont="1"/>
    <xf numFmtId="1" fontId="6" fillId="0" borderId="0" xfId="0" applyNumberFormat="1" applyFont="1"/>
    <xf numFmtId="1" fontId="7" fillId="0" borderId="0" xfId="0" applyNumberFormat="1" applyFont="1"/>
    <xf numFmtId="1" fontId="8" fillId="0" borderId="0" xfId="0" applyNumberFormat="1" applyFont="1"/>
    <xf numFmtId="1" fontId="9" fillId="0" borderId="0" xfId="0" applyNumberFormat="1" applyFont="1"/>
    <xf numFmtId="0" fontId="5" fillId="0" borderId="1" xfId="0" applyFont="1" applyBorder="1" applyAlignment="1">
      <alignment horizontal="center"/>
    </xf>
    <xf numFmtId="3" fontId="5" fillId="0" borderId="0" xfId="1" applyNumberFormat="1" applyFont="1" applyFill="1" applyAlignment="1">
      <alignment horizontal="center"/>
    </xf>
    <xf numFmtId="165" fontId="5" fillId="0" borderId="0" xfId="0" applyNumberFormat="1" applyFont="1" applyAlignment="1">
      <alignment horizontal="center"/>
    </xf>
    <xf numFmtId="164" fontId="5" fillId="0" borderId="0" xfId="0" applyNumberFormat="1" applyFont="1"/>
    <xf numFmtId="3" fontId="5" fillId="0" borderId="0" xfId="0" applyNumberFormat="1" applyFont="1" applyAlignment="1">
      <alignment horizontal="center"/>
    </xf>
    <xf numFmtId="9" fontId="0" fillId="0" borderId="0" xfId="0" applyNumberFormat="1" applyAlignment="1">
      <alignment horizontal="center"/>
    </xf>
    <xf numFmtId="164" fontId="5" fillId="0" borderId="0" xfId="0" applyNumberFormat="1" applyFont="1" applyAlignment="1">
      <alignment horizontal="center"/>
    </xf>
    <xf numFmtId="0" fontId="10" fillId="3" borderId="0" xfId="0" applyFont="1" applyFill="1"/>
    <xf numFmtId="0" fontId="11" fillId="3" borderId="0" xfId="0" applyFont="1" applyFill="1"/>
    <xf numFmtId="0" fontId="2" fillId="0" borderId="0" xfId="0" applyFont="1"/>
    <xf numFmtId="9" fontId="0" fillId="0" borderId="0" xfId="3" applyFont="1" applyAlignment="1">
      <alignment horizontal="center"/>
    </xf>
    <xf numFmtId="9" fontId="4" fillId="0" borderId="0" xfId="0" applyNumberFormat="1" applyFont="1"/>
    <xf numFmtId="0" fontId="5" fillId="0" borderId="1" xfId="0" applyFont="1" applyBorder="1"/>
    <xf numFmtId="3" fontId="5" fillId="0" borderId="1" xfId="1" applyNumberFormat="1" applyFont="1" applyFill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0" fontId="0" fillId="0" borderId="1" xfId="0" applyBorder="1"/>
    <xf numFmtId="9" fontId="2" fillId="2" borderId="0" xfId="0" applyNumberFormat="1" applyFont="1" applyFill="1" applyAlignment="1">
      <alignment horizontal="center"/>
    </xf>
    <xf numFmtId="6" fontId="2" fillId="2" borderId="0" xfId="0" applyNumberFormat="1" applyFont="1" applyFill="1" applyAlignment="1">
      <alignment horizontal="center"/>
    </xf>
    <xf numFmtId="3" fontId="0" fillId="0" borderId="0" xfId="0" applyNumberFormat="1" applyAlignment="1">
      <alignment horizontal="center"/>
    </xf>
    <xf numFmtId="167" fontId="0" fillId="0" borderId="0" xfId="2" applyNumberFormat="1" applyFont="1" applyAlignment="1">
      <alignment horizontal="center"/>
    </xf>
    <xf numFmtId="169" fontId="5" fillId="0" borderId="0" xfId="3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9" fontId="6" fillId="0" borderId="0" xfId="3" applyFont="1"/>
    <xf numFmtId="1" fontId="13" fillId="0" borderId="0" xfId="0" applyNumberFormat="1" applyFont="1"/>
    <xf numFmtId="0" fontId="14" fillId="0" borderId="0" xfId="4"/>
    <xf numFmtId="165" fontId="0" fillId="0" borderId="0" xfId="0" applyNumberFormat="1" applyAlignment="1">
      <alignment horizontal="center"/>
    </xf>
    <xf numFmtId="3" fontId="2" fillId="2" borderId="1" xfId="1" applyNumberFormat="1" applyFont="1" applyFill="1" applyBorder="1" applyAlignment="1">
      <alignment horizontal="center"/>
    </xf>
    <xf numFmtId="0" fontId="0" fillId="0" borderId="11" xfId="0" applyBorder="1" applyAlignment="1">
      <alignment horizontal="center" vertical="top" wrapText="1"/>
    </xf>
    <xf numFmtId="3" fontId="0" fillId="4" borderId="2" xfId="0" applyNumberFormat="1" applyFill="1" applyBorder="1" applyAlignment="1">
      <alignment horizontal="center"/>
    </xf>
    <xf numFmtId="3" fontId="0" fillId="4" borderId="0" xfId="1" applyNumberFormat="1" applyFont="1" applyFill="1" applyAlignment="1">
      <alignment horizontal="center"/>
    </xf>
    <xf numFmtId="3" fontId="0" fillId="4" borderId="0" xfId="0" applyNumberFormat="1" applyFill="1" applyAlignment="1">
      <alignment horizontal="center"/>
    </xf>
    <xf numFmtId="0" fontId="0" fillId="4" borderId="2" xfId="0" applyFill="1" applyBorder="1"/>
    <xf numFmtId="0" fontId="0" fillId="4" borderId="0" xfId="0" applyFill="1"/>
    <xf numFmtId="2" fontId="0" fillId="5" borderId="14" xfId="0" applyNumberFormat="1" applyFill="1" applyBorder="1" applyAlignment="1">
      <alignment horizontal="center"/>
    </xf>
    <xf numFmtId="3" fontId="0" fillId="5" borderId="2" xfId="1" applyNumberFormat="1" applyFont="1" applyFill="1" applyBorder="1" applyAlignment="1">
      <alignment horizontal="center"/>
    </xf>
    <xf numFmtId="3" fontId="0" fillId="5" borderId="0" xfId="1" applyNumberFormat="1" applyFont="1" applyFill="1" applyBorder="1" applyAlignment="1">
      <alignment horizontal="center"/>
    </xf>
    <xf numFmtId="3" fontId="0" fillId="5" borderId="0" xfId="0" applyNumberFormat="1" applyFill="1" applyAlignment="1">
      <alignment horizontal="center"/>
    </xf>
    <xf numFmtId="3" fontId="0" fillId="5" borderId="0" xfId="1" applyNumberFormat="1" applyFont="1" applyFill="1" applyAlignment="1">
      <alignment horizontal="center"/>
    </xf>
    <xf numFmtId="0" fontId="0" fillId="5" borderId="14" xfId="0" applyFill="1" applyBorder="1"/>
    <xf numFmtId="0" fontId="0" fillId="5" borderId="2" xfId="0" applyFill="1" applyBorder="1"/>
    <xf numFmtId="0" fontId="0" fillId="5" borderId="0" xfId="0" applyFill="1"/>
    <xf numFmtId="2" fontId="0" fillId="5" borderId="2" xfId="1" applyNumberFormat="1" applyFont="1" applyFill="1" applyBorder="1"/>
    <xf numFmtId="0" fontId="4" fillId="7" borderId="11" xfId="0" applyFont="1" applyFill="1" applyBorder="1" applyAlignment="1">
      <alignment horizontal="center" vertical="top" wrapText="1"/>
    </xf>
    <xf numFmtId="0" fontId="4" fillId="6" borderId="11" xfId="0" applyFont="1" applyFill="1" applyBorder="1" applyAlignment="1">
      <alignment horizontal="center" vertical="top" wrapText="1"/>
    </xf>
    <xf numFmtId="0" fontId="4" fillId="6" borderId="12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" fillId="2" borderId="0" xfId="0" applyFont="1" applyFill="1" applyAlignment="1">
      <alignment horizontal="center"/>
    </xf>
    <xf numFmtId="43" fontId="0" fillId="0" borderId="0" xfId="0" applyNumberFormat="1"/>
    <xf numFmtId="165" fontId="13" fillId="0" borderId="0" xfId="0" applyNumberFormat="1" applyFont="1"/>
    <xf numFmtId="0" fontId="15" fillId="0" borderId="0" xfId="0" applyFont="1"/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16" fillId="9" borderId="0" xfId="0" applyFont="1" applyFill="1"/>
    <xf numFmtId="0" fontId="4" fillId="9" borderId="0" xfId="0" applyFont="1" applyFill="1"/>
    <xf numFmtId="0" fontId="5" fillId="8" borderId="0" xfId="0" applyFont="1" applyFill="1"/>
    <xf numFmtId="3" fontId="5" fillId="8" borderId="0" xfId="1" applyNumberFormat="1" applyFont="1" applyFill="1" applyAlignment="1">
      <alignment horizontal="center"/>
    </xf>
    <xf numFmtId="165" fontId="5" fillId="8" borderId="0" xfId="0" applyNumberFormat="1" applyFont="1" applyFill="1" applyAlignment="1">
      <alignment horizontal="center"/>
    </xf>
    <xf numFmtId="164" fontId="5" fillId="8" borderId="0" xfId="0" applyNumberFormat="1" applyFont="1" applyFill="1"/>
    <xf numFmtId="3" fontId="5" fillId="8" borderId="0" xfId="0" applyNumberFormat="1" applyFont="1" applyFill="1" applyAlignment="1">
      <alignment horizontal="center"/>
    </xf>
    <xf numFmtId="164" fontId="5" fillId="0" borderId="1" xfId="0" applyNumberFormat="1" applyFont="1" applyBorder="1"/>
    <xf numFmtId="1" fontId="0" fillId="0" borderId="0" xfId="0" applyNumberFormat="1" applyAlignment="1">
      <alignment horizontal="center"/>
    </xf>
    <xf numFmtId="170" fontId="0" fillId="0" borderId="0" xfId="0" applyNumberFormat="1" applyAlignment="1">
      <alignment horizontal="center"/>
    </xf>
    <xf numFmtId="3" fontId="1" fillId="0" borderId="0" xfId="1" applyNumberFormat="1" applyFont="1" applyFill="1" applyAlignment="1">
      <alignment horizontal="center"/>
    </xf>
    <xf numFmtId="0" fontId="15" fillId="10" borderId="0" xfId="0" applyFont="1" applyFill="1"/>
    <xf numFmtId="0" fontId="0" fillId="10" borderId="0" xfId="0" applyFill="1"/>
    <xf numFmtId="0" fontId="0" fillId="0" borderId="0" xfId="0" applyAlignment="1">
      <alignment wrapText="1"/>
    </xf>
    <xf numFmtId="166" fontId="0" fillId="0" borderId="0" xfId="0" applyNumberFormat="1" applyAlignment="1">
      <alignment horizontal="center"/>
    </xf>
    <xf numFmtId="2" fontId="0" fillId="0" borderId="1" xfId="0" applyNumberFormat="1" applyBorder="1" applyAlignment="1">
      <alignment horizontal="center"/>
    </xf>
    <xf numFmtId="166" fontId="5" fillId="0" borderId="0" xfId="1" applyNumberFormat="1" applyFont="1" applyFill="1" applyBorder="1" applyAlignment="1">
      <alignment horizontal="center"/>
    </xf>
    <xf numFmtId="3" fontId="5" fillId="0" borderId="0" xfId="1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0" fontId="20" fillId="0" borderId="15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11" borderId="18" xfId="0" applyFont="1" applyFill="1" applyBorder="1" applyAlignment="1">
      <alignment horizontal="center" vertical="center" wrapText="1"/>
    </xf>
    <xf numFmtId="0" fontId="20" fillId="11" borderId="19" xfId="0" applyFont="1" applyFill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 wrapText="1"/>
    </xf>
    <xf numFmtId="0" fontId="20" fillId="11" borderId="29" xfId="0" applyFont="1" applyFill="1" applyBorder="1" applyAlignment="1">
      <alignment horizontal="center" vertical="center" wrapText="1"/>
    </xf>
    <xf numFmtId="172" fontId="4" fillId="6" borderId="12" xfId="0" applyNumberFormat="1" applyFont="1" applyFill="1" applyBorder="1" applyAlignment="1">
      <alignment horizontal="center" vertical="top" wrapText="1"/>
    </xf>
    <xf numFmtId="172" fontId="0" fillId="4" borderId="0" xfId="0" applyNumberFormat="1" applyFill="1"/>
    <xf numFmtId="0" fontId="26" fillId="0" borderId="0" xfId="0" applyFont="1"/>
    <xf numFmtId="0" fontId="27" fillId="0" borderId="0" xfId="0" applyFont="1"/>
    <xf numFmtId="164" fontId="5" fillId="8" borderId="0" xfId="0" applyNumberFormat="1" applyFont="1" applyFill="1" applyAlignment="1">
      <alignment horizontal="center"/>
    </xf>
    <xf numFmtId="0" fontId="5" fillId="8" borderId="1" xfId="0" applyFont="1" applyFill="1" applyBorder="1"/>
    <xf numFmtId="3" fontId="5" fillId="8" borderId="1" xfId="1" applyNumberFormat="1" applyFont="1" applyFill="1" applyBorder="1" applyAlignment="1">
      <alignment horizontal="center"/>
    </xf>
    <xf numFmtId="165" fontId="5" fillId="8" borderId="1" xfId="0" applyNumberFormat="1" applyFont="1" applyFill="1" applyBorder="1" applyAlignment="1">
      <alignment horizontal="center"/>
    </xf>
    <xf numFmtId="164" fontId="5" fillId="8" borderId="1" xfId="0" applyNumberFormat="1" applyFont="1" applyFill="1" applyBorder="1" applyAlignment="1">
      <alignment horizontal="center"/>
    </xf>
    <xf numFmtId="3" fontId="5" fillId="8" borderId="0" xfId="1" applyNumberFormat="1" applyFont="1" applyFill="1" applyBorder="1" applyAlignment="1">
      <alignment horizontal="center"/>
    </xf>
    <xf numFmtId="1" fontId="5" fillId="8" borderId="0" xfId="0" applyNumberFormat="1" applyFont="1" applyFill="1" applyAlignment="1">
      <alignment horizontal="center"/>
    </xf>
    <xf numFmtId="0" fontId="5" fillId="10" borderId="1" xfId="0" applyFont="1" applyFill="1" applyBorder="1" applyAlignment="1">
      <alignment horizontal="center"/>
    </xf>
    <xf numFmtId="0" fontId="0" fillId="8" borderId="0" xfId="0" applyFill="1"/>
    <xf numFmtId="0" fontId="3" fillId="10" borderId="0" xfId="0" applyFont="1" applyFill="1"/>
    <xf numFmtId="0" fontId="28" fillId="10" borderId="0" xfId="0" applyFont="1" applyFill="1"/>
    <xf numFmtId="4" fontId="0" fillId="4" borderId="0" xfId="0" applyNumberFormat="1" applyFill="1" applyAlignment="1">
      <alignment horizontal="center"/>
    </xf>
    <xf numFmtId="0" fontId="29" fillId="0" borderId="0" xfId="0" applyFont="1"/>
    <xf numFmtId="0" fontId="10" fillId="3" borderId="0" xfId="0" applyFont="1" applyFill="1" applyAlignment="1">
      <alignment horizontal="center"/>
    </xf>
    <xf numFmtId="0" fontId="0" fillId="2" borderId="0" xfId="0" applyFill="1"/>
    <xf numFmtId="0" fontId="26" fillId="2" borderId="0" xfId="0" applyFont="1" applyFill="1"/>
    <xf numFmtId="3" fontId="2" fillId="2" borderId="30" xfId="1" applyNumberFormat="1" applyFont="1" applyFill="1" applyBorder="1" applyAlignment="1">
      <alignment horizontal="left"/>
    </xf>
    <xf numFmtId="3" fontId="2" fillId="2" borderId="31" xfId="1" applyNumberFormat="1" applyFont="1" applyFill="1" applyBorder="1" applyAlignment="1">
      <alignment horizontal="left"/>
    </xf>
    <xf numFmtId="9" fontId="2" fillId="12" borderId="0" xfId="3" applyFont="1" applyFill="1" applyAlignment="1">
      <alignment horizontal="center"/>
    </xf>
    <xf numFmtId="1" fontId="2" fillId="12" borderId="0" xfId="0" applyNumberFormat="1" applyFont="1" applyFill="1" applyAlignment="1">
      <alignment horizontal="center"/>
    </xf>
    <xf numFmtId="3" fontId="5" fillId="0" borderId="0" xfId="1" applyNumberFormat="1" applyFont="1" applyFill="1" applyBorder="1" applyAlignment="1">
      <alignment horizontal="left"/>
    </xf>
    <xf numFmtId="3" fontId="5" fillId="0" borderId="34" xfId="1" applyNumberFormat="1" applyFont="1" applyFill="1" applyBorder="1" applyAlignment="1">
      <alignment horizontal="left"/>
    </xf>
    <xf numFmtId="0" fontId="0" fillId="12" borderId="1" xfId="0" applyFill="1" applyBorder="1" applyAlignment="1">
      <alignment horizontal="left"/>
    </xf>
    <xf numFmtId="0" fontId="0" fillId="12" borderId="4" xfId="0" applyFill="1" applyBorder="1" applyAlignment="1">
      <alignment horizontal="left"/>
    </xf>
    <xf numFmtId="0" fontId="2" fillId="12" borderId="1" xfId="0" applyFont="1" applyFill="1" applyBorder="1" applyAlignment="1">
      <alignment horizontal="left"/>
    </xf>
    <xf numFmtId="3" fontId="4" fillId="13" borderId="0" xfId="1" applyNumberFormat="1" applyFont="1" applyFill="1" applyBorder="1" applyAlignment="1">
      <alignment horizontal="left"/>
    </xf>
    <xf numFmtId="3" fontId="4" fillId="13" borderId="34" xfId="1" applyNumberFormat="1" applyFont="1" applyFill="1" applyBorder="1" applyAlignment="1">
      <alignment horizontal="left"/>
    </xf>
    <xf numFmtId="165" fontId="4" fillId="13" borderId="0" xfId="0" applyNumberFormat="1" applyFont="1" applyFill="1" applyAlignment="1">
      <alignment horizontal="center"/>
    </xf>
    <xf numFmtId="0" fontId="4" fillId="13" borderId="0" xfId="0" applyFont="1" applyFill="1" applyAlignment="1">
      <alignment horizontal="center"/>
    </xf>
    <xf numFmtId="9" fontId="5" fillId="8" borderId="0" xfId="3" applyFont="1" applyFill="1" applyAlignment="1">
      <alignment horizontal="center"/>
    </xf>
    <xf numFmtId="9" fontId="5" fillId="8" borderId="1" xfId="3" applyFont="1" applyFill="1" applyBorder="1" applyAlignment="1">
      <alignment horizontal="center"/>
    </xf>
    <xf numFmtId="0" fontId="0" fillId="14" borderId="0" xfId="0" applyFill="1"/>
    <xf numFmtId="0" fontId="4" fillId="14" borderId="0" xfId="0" applyFont="1" applyFill="1"/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6" fontId="38" fillId="2" borderId="0" xfId="0" applyNumberFormat="1" applyFont="1" applyFill="1" applyAlignment="1">
      <alignment horizontal="center"/>
    </xf>
    <xf numFmtId="6" fontId="2" fillId="2" borderId="1" xfId="0" applyNumberFormat="1" applyFont="1" applyFill="1" applyBorder="1" applyAlignment="1">
      <alignment horizontal="center"/>
    </xf>
    <xf numFmtId="168" fontId="33" fillId="0" borderId="0" xfId="0" applyNumberFormat="1" applyFont="1" applyAlignment="1">
      <alignment horizontal="center"/>
    </xf>
    <xf numFmtId="0" fontId="21" fillId="0" borderId="22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34" fillId="2" borderId="0" xfId="0" applyFont="1" applyFill="1" applyAlignment="1">
      <alignment horizontal="left" vertical="center"/>
    </xf>
    <xf numFmtId="0" fontId="36" fillId="14" borderId="0" xfId="0" applyFont="1" applyFill="1" applyAlignment="1">
      <alignment horizontal="left" vertical="center" indent="2"/>
    </xf>
    <xf numFmtId="0" fontId="2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171" fontId="0" fillId="0" borderId="0" xfId="0" applyNumberFormat="1" applyAlignment="1">
      <alignment horizontal="center"/>
    </xf>
    <xf numFmtId="0" fontId="0" fillId="0" borderId="3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2" borderId="5" xfId="0" applyFill="1" applyBorder="1" applyAlignment="1">
      <alignment horizontal="center" vertical="top" wrapText="1"/>
    </xf>
    <xf numFmtId="0" fontId="0" fillId="2" borderId="6" xfId="0" applyFill="1" applyBorder="1" applyAlignment="1">
      <alignment horizontal="center" vertical="top"/>
    </xf>
    <xf numFmtId="0" fontId="0" fillId="2" borderId="9" xfId="0" applyFill="1" applyBorder="1" applyAlignment="1">
      <alignment horizontal="center" vertical="top"/>
    </xf>
    <xf numFmtId="0" fontId="0" fillId="2" borderId="10" xfId="0" applyFill="1" applyBorder="1" applyAlignment="1">
      <alignment horizontal="center" vertical="top"/>
    </xf>
    <xf numFmtId="0" fontId="25" fillId="0" borderId="0" xfId="0" applyFont="1" applyAlignment="1">
      <alignment horizontal="left" vertical="top" wrapText="1"/>
    </xf>
    <xf numFmtId="9" fontId="12" fillId="0" borderId="5" xfId="3" applyFont="1" applyBorder="1" applyAlignment="1">
      <alignment horizontal="center" vertical="center"/>
    </xf>
    <xf numFmtId="9" fontId="12" fillId="0" borderId="6" xfId="3" applyFont="1" applyBorder="1" applyAlignment="1">
      <alignment horizontal="center" vertical="center"/>
    </xf>
    <xf numFmtId="9" fontId="12" fillId="0" borderId="7" xfId="3" applyFont="1" applyBorder="1" applyAlignment="1">
      <alignment horizontal="center" vertical="center"/>
    </xf>
    <xf numFmtId="9" fontId="12" fillId="0" borderId="8" xfId="3" applyFont="1" applyBorder="1" applyAlignment="1">
      <alignment horizontal="center" vertical="center"/>
    </xf>
    <xf numFmtId="9" fontId="12" fillId="0" borderId="9" xfId="3" applyFont="1" applyBorder="1" applyAlignment="1">
      <alignment horizontal="center" vertical="center"/>
    </xf>
    <xf numFmtId="9" fontId="12" fillId="0" borderId="10" xfId="3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Percent" xfId="3" builtinId="5"/>
  </cellStyles>
  <dxfs count="1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00"/>
      <color rgb="FF75D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Inflow by</a:t>
            </a:r>
            <a:r>
              <a:rPr lang="en-US" b="1" baseline="0"/>
              <a:t> Type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DDB-4C79-890C-3DA3709A0B88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DDB-4C79-890C-3DA3709A0B88}"/>
              </c:ext>
            </c:extLst>
          </c:dPt>
          <c:cat>
            <c:strRef>
              <c:f>'Hydrological Data Model'!$D$88:$D$89</c:f>
              <c:strCache>
                <c:ptCount val="2"/>
                <c:pt idx="0">
                  <c:v>Freshwater</c:v>
                </c:pt>
                <c:pt idx="1">
                  <c:v>Seawater</c:v>
                </c:pt>
              </c:strCache>
            </c:strRef>
          </c:cat>
          <c:val>
            <c:numRef>
              <c:f>'Hydrological Data Model'!$E$88:$E$89</c:f>
              <c:numCache>
                <c:formatCode>0%</c:formatCode>
                <c:ptCount val="2"/>
                <c:pt idx="0">
                  <c:v>0.2906466726617824</c:v>
                </c:pt>
                <c:pt idx="1">
                  <c:v>0.70935332733821754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DB-4C79-890C-3DA3709A0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Inflows to Outflow</a:t>
            </a:r>
            <a:r>
              <a:rPr lang="en-US" b="1" baseline="0"/>
              <a:t> Ratio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1E0-415F-8438-67962C363B49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1E0-415F-8438-67962C363B49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43E-461A-A6D3-DE8CEA1816B4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080-4419-9672-82247BCDA194}"/>
              </c:ext>
            </c:extLst>
          </c:dPt>
          <c:cat>
            <c:strRef>
              <c:f>'Hydrological Data Model'!$G$92:$G$95</c:f>
              <c:strCache>
                <c:ptCount val="4"/>
                <c:pt idx="0">
                  <c:v>Watershed Inflows</c:v>
                </c:pt>
                <c:pt idx="1">
                  <c:v>Seawater Inflow</c:v>
                </c:pt>
                <c:pt idx="2">
                  <c:v>Brine Outflow</c:v>
                </c:pt>
                <c:pt idx="3">
                  <c:v>Evaporation</c:v>
                </c:pt>
              </c:strCache>
            </c:strRef>
          </c:cat>
          <c:val>
            <c:numRef>
              <c:f>'Hydrological Data Model'!$H$92:$H$95</c:f>
              <c:numCache>
                <c:formatCode>0%</c:formatCode>
                <c:ptCount val="4"/>
                <c:pt idx="0">
                  <c:v>0.14190416416190313</c:v>
                </c:pt>
                <c:pt idx="1">
                  <c:v>0.34633181962667831</c:v>
                </c:pt>
                <c:pt idx="2">
                  <c:v>0.25974886472000869</c:v>
                </c:pt>
                <c:pt idx="3">
                  <c:v>0.25201515149140985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E0-415F-8438-67962C363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09451707975449"/>
          <c:y val="0.22587331772406599"/>
          <c:w val="0.42719154987123042"/>
          <c:h val="0.729473457955886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Tunnel Inflow</a:t>
            </a:r>
            <a:r>
              <a:rPr lang="en-US" b="1" baseline="0"/>
              <a:t> vs Outflow</a:t>
            </a:r>
            <a:endParaRPr lang="en-US" b="1"/>
          </a:p>
        </c:rich>
      </c:tx>
      <c:layout>
        <c:manualLayout>
          <c:xMode val="edge"/>
          <c:yMode val="edge"/>
          <c:x val="0.22105870568078487"/>
          <c:y val="2.01302495833936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E2E-412F-80D7-CE67898BE3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E2E-412F-80D7-CE67898BE3B6}"/>
              </c:ext>
            </c:extLst>
          </c:dPt>
          <c:cat>
            <c:strRef>
              <c:f>'Hydrological Data Model'!$D$92:$D$93</c:f>
              <c:strCache>
                <c:ptCount val="2"/>
                <c:pt idx="0">
                  <c:v>Tunnel Inflow</c:v>
                </c:pt>
                <c:pt idx="1">
                  <c:v>Tunnel Outflow</c:v>
                </c:pt>
              </c:strCache>
            </c:strRef>
          </c:cat>
          <c:val>
            <c:numRef>
              <c:f>'Hydrological Data Model'!$E$92:$E$93</c:f>
              <c:numCache>
                <c:formatCode>0%</c:formatCode>
                <c:ptCount val="2"/>
                <c:pt idx="0">
                  <c:v>0.5714285714285714</c:v>
                </c:pt>
                <c:pt idx="1">
                  <c:v>0.4285714285714286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2E-412F-80D7-CE67898BE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5794612515540809"/>
          <c:y val="0.44995228972342832"/>
          <c:w val="0.33328194502003039"/>
          <c:h val="0.275160962743716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Outflow by</a:t>
            </a:r>
            <a:r>
              <a:rPr lang="en-US" b="1" baseline="0"/>
              <a:t> Type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spPr>
            <a:solidFill>
              <a:schemeClr val="bg1">
                <a:lumMod val="8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DD4-4588-813D-95739DC3DAF0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DD4-4588-813D-95739DC3DAF0}"/>
              </c:ext>
            </c:extLst>
          </c:dPt>
          <c:cat>
            <c:strRef>
              <c:f>'Hydrological Data Model'!$G$88:$G$89</c:f>
              <c:strCache>
                <c:ptCount val="2"/>
                <c:pt idx="0">
                  <c:v>Evaporation</c:v>
                </c:pt>
                <c:pt idx="1">
                  <c:v>Brine</c:v>
                </c:pt>
              </c:strCache>
            </c:strRef>
          </c:cat>
          <c:val>
            <c:numRef>
              <c:f>'Hydrological Data Model'!$H$88:$H$89</c:f>
              <c:numCache>
                <c:formatCode>0%</c:formatCode>
                <c:ptCount val="2"/>
                <c:pt idx="0">
                  <c:v>0.49244406309977456</c:v>
                </c:pt>
                <c:pt idx="1">
                  <c:v>0.50755593690022538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D4-4588-813D-95739DC3D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Tunnel + Watershed Annual Flows as % of Total  Salton Sea Volume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4C6C-4257-8B43-EB027FB5379E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4C6C-4257-8B43-EB027FB5379E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4C6C-4257-8B43-EB027FB53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'Hydrological Data Model'!$G$98:$G$99</c:f>
              <c:strCache>
                <c:ptCount val="2"/>
                <c:pt idx="0">
                  <c:v>Inflows</c:v>
                </c:pt>
                <c:pt idx="1">
                  <c:v>Outflows</c:v>
                </c:pt>
              </c:strCache>
            </c:strRef>
          </c:cat>
          <c:val>
            <c:numRef>
              <c:f>'Hydrological Data Model'!$H$98:$H$99</c:f>
              <c:numCache>
                <c:formatCode>0%</c:formatCode>
                <c:ptCount val="2"/>
                <c:pt idx="0">
                  <c:v>0.35852647233946144</c:v>
                </c:pt>
                <c:pt idx="1">
                  <c:v>0.37580401020940124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C-4257-8B43-EB027FB53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40331871"/>
        <c:axId val="740345183"/>
      </c:barChart>
      <c:catAx>
        <c:axId val="740331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345183"/>
        <c:crosses val="autoZero"/>
        <c:auto val="1"/>
        <c:lblAlgn val="ctr"/>
        <c:lblOffset val="100"/>
        <c:noMultiLvlLbl val="0"/>
      </c:catAx>
      <c:valAx>
        <c:axId val="740345183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0331871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Tunnel Throughput as % of Theoretical Max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15336621462568"/>
          <c:y val="0.24011953260992769"/>
          <c:w val="0.80079267279314781"/>
          <c:h val="0.6524810012000072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AA-491D-8C6E-0640E4477291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FAA-491D-8C6E-0640E4477291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FAA-491D-8C6E-0640E4477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'Hydrological Data Model'!$D$101:$D$102</c:f>
              <c:strCache>
                <c:ptCount val="2"/>
                <c:pt idx="0">
                  <c:v>Inflows</c:v>
                </c:pt>
                <c:pt idx="1">
                  <c:v>Outflows</c:v>
                </c:pt>
              </c:strCache>
            </c:strRef>
          </c:cat>
          <c:val>
            <c:numRef>
              <c:f>'Hydrological Data Model'!$E$101:$E$102</c:f>
              <c:numCache>
                <c:formatCode>0%</c:formatCode>
                <c:ptCount val="2"/>
                <c:pt idx="0">
                  <c:v>1</c:v>
                </c:pt>
                <c:pt idx="1">
                  <c:v>0.90942007600996166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AA-491D-8C6E-0640E4477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668973935"/>
        <c:axId val="668971855"/>
      </c:barChart>
      <c:catAx>
        <c:axId val="668973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8971855"/>
        <c:crosses val="autoZero"/>
        <c:auto val="1"/>
        <c:lblAlgn val="ctr"/>
        <c:lblOffset val="100"/>
        <c:noMultiLvlLbl val="0"/>
      </c:catAx>
      <c:valAx>
        <c:axId val="668971855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8973935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Average</a:t>
            </a:r>
            <a:r>
              <a:rPr lang="en-US" b="1" baseline="0"/>
              <a:t> </a:t>
            </a:r>
            <a:r>
              <a:rPr lang="en-US" b="1"/>
              <a:t>Depth (m)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Constrained Tunnel Throughput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'Data Model Calculations'!$A$3:$A$363</c:f>
              <c:numCache>
                <c:formatCode>General</c:formatCode>
                <c:ptCount val="36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8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13</c:v>
                </c:pt>
                <c:pt idx="148">
                  <c:v>13</c:v>
                </c:pt>
                <c:pt idx="149">
                  <c:v>13</c:v>
                </c:pt>
                <c:pt idx="150">
                  <c:v>13</c:v>
                </c:pt>
                <c:pt idx="151">
                  <c:v>13</c:v>
                </c:pt>
                <c:pt idx="152">
                  <c:v>13</c:v>
                </c:pt>
                <c:pt idx="153">
                  <c:v>13</c:v>
                </c:pt>
                <c:pt idx="154">
                  <c:v>13</c:v>
                </c:pt>
                <c:pt idx="155">
                  <c:v>13</c:v>
                </c:pt>
                <c:pt idx="156">
                  <c:v>14</c:v>
                </c:pt>
                <c:pt idx="157">
                  <c:v>14</c:v>
                </c:pt>
                <c:pt idx="158">
                  <c:v>14</c:v>
                </c:pt>
                <c:pt idx="159">
                  <c:v>14</c:v>
                </c:pt>
                <c:pt idx="160">
                  <c:v>14</c:v>
                </c:pt>
                <c:pt idx="161">
                  <c:v>14</c:v>
                </c:pt>
                <c:pt idx="162">
                  <c:v>14</c:v>
                </c:pt>
                <c:pt idx="163">
                  <c:v>14</c:v>
                </c:pt>
                <c:pt idx="164">
                  <c:v>14</c:v>
                </c:pt>
                <c:pt idx="165">
                  <c:v>14</c:v>
                </c:pt>
                <c:pt idx="166">
                  <c:v>14</c:v>
                </c:pt>
                <c:pt idx="167">
                  <c:v>14</c:v>
                </c:pt>
                <c:pt idx="168">
                  <c:v>15</c:v>
                </c:pt>
                <c:pt idx="169">
                  <c:v>15</c:v>
                </c:pt>
                <c:pt idx="170">
                  <c:v>15</c:v>
                </c:pt>
                <c:pt idx="171">
                  <c:v>15</c:v>
                </c:pt>
                <c:pt idx="172">
                  <c:v>15</c:v>
                </c:pt>
                <c:pt idx="173">
                  <c:v>15</c:v>
                </c:pt>
                <c:pt idx="174">
                  <c:v>15</c:v>
                </c:pt>
                <c:pt idx="175">
                  <c:v>15</c:v>
                </c:pt>
                <c:pt idx="176">
                  <c:v>15</c:v>
                </c:pt>
                <c:pt idx="177">
                  <c:v>15</c:v>
                </c:pt>
                <c:pt idx="178">
                  <c:v>15</c:v>
                </c:pt>
                <c:pt idx="179">
                  <c:v>15</c:v>
                </c:pt>
                <c:pt idx="180">
                  <c:v>16</c:v>
                </c:pt>
                <c:pt idx="181">
                  <c:v>16</c:v>
                </c:pt>
                <c:pt idx="182">
                  <c:v>16</c:v>
                </c:pt>
                <c:pt idx="183">
                  <c:v>16</c:v>
                </c:pt>
                <c:pt idx="184">
                  <c:v>16</c:v>
                </c:pt>
                <c:pt idx="185">
                  <c:v>16</c:v>
                </c:pt>
                <c:pt idx="186">
                  <c:v>16</c:v>
                </c:pt>
                <c:pt idx="187">
                  <c:v>16</c:v>
                </c:pt>
                <c:pt idx="188">
                  <c:v>16</c:v>
                </c:pt>
                <c:pt idx="189">
                  <c:v>16</c:v>
                </c:pt>
                <c:pt idx="190">
                  <c:v>16</c:v>
                </c:pt>
                <c:pt idx="191">
                  <c:v>16</c:v>
                </c:pt>
                <c:pt idx="192">
                  <c:v>17</c:v>
                </c:pt>
                <c:pt idx="193">
                  <c:v>17</c:v>
                </c:pt>
                <c:pt idx="194">
                  <c:v>17</c:v>
                </c:pt>
                <c:pt idx="195">
                  <c:v>17</c:v>
                </c:pt>
                <c:pt idx="196">
                  <c:v>17</c:v>
                </c:pt>
                <c:pt idx="197">
                  <c:v>17</c:v>
                </c:pt>
                <c:pt idx="198">
                  <c:v>17</c:v>
                </c:pt>
                <c:pt idx="199">
                  <c:v>17</c:v>
                </c:pt>
                <c:pt idx="200">
                  <c:v>17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18</c:v>
                </c:pt>
                <c:pt idx="205">
                  <c:v>18</c:v>
                </c:pt>
                <c:pt idx="206">
                  <c:v>18</c:v>
                </c:pt>
                <c:pt idx="207">
                  <c:v>18</c:v>
                </c:pt>
                <c:pt idx="208">
                  <c:v>18</c:v>
                </c:pt>
                <c:pt idx="209">
                  <c:v>18</c:v>
                </c:pt>
                <c:pt idx="210">
                  <c:v>18</c:v>
                </c:pt>
                <c:pt idx="211">
                  <c:v>18</c:v>
                </c:pt>
                <c:pt idx="212">
                  <c:v>18</c:v>
                </c:pt>
                <c:pt idx="213">
                  <c:v>18</c:v>
                </c:pt>
                <c:pt idx="214">
                  <c:v>18</c:v>
                </c:pt>
                <c:pt idx="215">
                  <c:v>18</c:v>
                </c:pt>
                <c:pt idx="216">
                  <c:v>19</c:v>
                </c:pt>
                <c:pt idx="217">
                  <c:v>19</c:v>
                </c:pt>
                <c:pt idx="218">
                  <c:v>19</c:v>
                </c:pt>
                <c:pt idx="219">
                  <c:v>19</c:v>
                </c:pt>
                <c:pt idx="220">
                  <c:v>19</c:v>
                </c:pt>
                <c:pt idx="221">
                  <c:v>19</c:v>
                </c:pt>
                <c:pt idx="222">
                  <c:v>19</c:v>
                </c:pt>
                <c:pt idx="223">
                  <c:v>19</c:v>
                </c:pt>
                <c:pt idx="224">
                  <c:v>19</c:v>
                </c:pt>
                <c:pt idx="225">
                  <c:v>19</c:v>
                </c:pt>
                <c:pt idx="226">
                  <c:v>19</c:v>
                </c:pt>
                <c:pt idx="227">
                  <c:v>19</c:v>
                </c:pt>
                <c:pt idx="228">
                  <c:v>20</c:v>
                </c:pt>
                <c:pt idx="229">
                  <c:v>20</c:v>
                </c:pt>
                <c:pt idx="230">
                  <c:v>20</c:v>
                </c:pt>
                <c:pt idx="231">
                  <c:v>20</c:v>
                </c:pt>
                <c:pt idx="232">
                  <c:v>20</c:v>
                </c:pt>
                <c:pt idx="233">
                  <c:v>20</c:v>
                </c:pt>
                <c:pt idx="234">
                  <c:v>20</c:v>
                </c:pt>
                <c:pt idx="235">
                  <c:v>20</c:v>
                </c:pt>
                <c:pt idx="236">
                  <c:v>20</c:v>
                </c:pt>
                <c:pt idx="237">
                  <c:v>20</c:v>
                </c:pt>
                <c:pt idx="238">
                  <c:v>20</c:v>
                </c:pt>
                <c:pt idx="239">
                  <c:v>20</c:v>
                </c:pt>
                <c:pt idx="240">
                  <c:v>21</c:v>
                </c:pt>
                <c:pt idx="241">
                  <c:v>21</c:v>
                </c:pt>
                <c:pt idx="242">
                  <c:v>21</c:v>
                </c:pt>
                <c:pt idx="243">
                  <c:v>21</c:v>
                </c:pt>
                <c:pt idx="244">
                  <c:v>21</c:v>
                </c:pt>
                <c:pt idx="245">
                  <c:v>21</c:v>
                </c:pt>
                <c:pt idx="246">
                  <c:v>21</c:v>
                </c:pt>
                <c:pt idx="247">
                  <c:v>21</c:v>
                </c:pt>
                <c:pt idx="248">
                  <c:v>21</c:v>
                </c:pt>
                <c:pt idx="249">
                  <c:v>21</c:v>
                </c:pt>
                <c:pt idx="250">
                  <c:v>21</c:v>
                </c:pt>
                <c:pt idx="251">
                  <c:v>21</c:v>
                </c:pt>
                <c:pt idx="252">
                  <c:v>22</c:v>
                </c:pt>
                <c:pt idx="253">
                  <c:v>22</c:v>
                </c:pt>
                <c:pt idx="254">
                  <c:v>22</c:v>
                </c:pt>
                <c:pt idx="255">
                  <c:v>22</c:v>
                </c:pt>
                <c:pt idx="256">
                  <c:v>22</c:v>
                </c:pt>
                <c:pt idx="257">
                  <c:v>22</c:v>
                </c:pt>
                <c:pt idx="258">
                  <c:v>22</c:v>
                </c:pt>
                <c:pt idx="259">
                  <c:v>22</c:v>
                </c:pt>
                <c:pt idx="260">
                  <c:v>22</c:v>
                </c:pt>
                <c:pt idx="261">
                  <c:v>22</c:v>
                </c:pt>
                <c:pt idx="262">
                  <c:v>22</c:v>
                </c:pt>
                <c:pt idx="263">
                  <c:v>22</c:v>
                </c:pt>
                <c:pt idx="264">
                  <c:v>23</c:v>
                </c:pt>
                <c:pt idx="265">
                  <c:v>23</c:v>
                </c:pt>
                <c:pt idx="266">
                  <c:v>23</c:v>
                </c:pt>
                <c:pt idx="267">
                  <c:v>23</c:v>
                </c:pt>
                <c:pt idx="268">
                  <c:v>23</c:v>
                </c:pt>
                <c:pt idx="269">
                  <c:v>23</c:v>
                </c:pt>
                <c:pt idx="270">
                  <c:v>23</c:v>
                </c:pt>
                <c:pt idx="271">
                  <c:v>23</c:v>
                </c:pt>
                <c:pt idx="272">
                  <c:v>23</c:v>
                </c:pt>
                <c:pt idx="273">
                  <c:v>23</c:v>
                </c:pt>
                <c:pt idx="274">
                  <c:v>23</c:v>
                </c:pt>
                <c:pt idx="275">
                  <c:v>23</c:v>
                </c:pt>
                <c:pt idx="276">
                  <c:v>24</c:v>
                </c:pt>
                <c:pt idx="277">
                  <c:v>24</c:v>
                </c:pt>
                <c:pt idx="278">
                  <c:v>24</c:v>
                </c:pt>
                <c:pt idx="279">
                  <c:v>24</c:v>
                </c:pt>
                <c:pt idx="280">
                  <c:v>24</c:v>
                </c:pt>
                <c:pt idx="281">
                  <c:v>24</c:v>
                </c:pt>
                <c:pt idx="282">
                  <c:v>24</c:v>
                </c:pt>
                <c:pt idx="283">
                  <c:v>24</c:v>
                </c:pt>
                <c:pt idx="284">
                  <c:v>24</c:v>
                </c:pt>
                <c:pt idx="285">
                  <c:v>24</c:v>
                </c:pt>
                <c:pt idx="286">
                  <c:v>24</c:v>
                </c:pt>
                <c:pt idx="287">
                  <c:v>24</c:v>
                </c:pt>
                <c:pt idx="288">
                  <c:v>25</c:v>
                </c:pt>
                <c:pt idx="289">
                  <c:v>25</c:v>
                </c:pt>
                <c:pt idx="290">
                  <c:v>25</c:v>
                </c:pt>
                <c:pt idx="291">
                  <c:v>25</c:v>
                </c:pt>
                <c:pt idx="292">
                  <c:v>25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25</c:v>
                </c:pt>
                <c:pt idx="297">
                  <c:v>25</c:v>
                </c:pt>
                <c:pt idx="298">
                  <c:v>25</c:v>
                </c:pt>
                <c:pt idx="299">
                  <c:v>25</c:v>
                </c:pt>
                <c:pt idx="300">
                  <c:v>26</c:v>
                </c:pt>
                <c:pt idx="301">
                  <c:v>26</c:v>
                </c:pt>
                <c:pt idx="302">
                  <c:v>26</c:v>
                </c:pt>
                <c:pt idx="303">
                  <c:v>26</c:v>
                </c:pt>
                <c:pt idx="304">
                  <c:v>26</c:v>
                </c:pt>
                <c:pt idx="305">
                  <c:v>26</c:v>
                </c:pt>
                <c:pt idx="306">
                  <c:v>26</c:v>
                </c:pt>
                <c:pt idx="307">
                  <c:v>26</c:v>
                </c:pt>
                <c:pt idx="308">
                  <c:v>26</c:v>
                </c:pt>
                <c:pt idx="309">
                  <c:v>26</c:v>
                </c:pt>
                <c:pt idx="310">
                  <c:v>26</c:v>
                </c:pt>
                <c:pt idx="311">
                  <c:v>26</c:v>
                </c:pt>
                <c:pt idx="312">
                  <c:v>27</c:v>
                </c:pt>
                <c:pt idx="313">
                  <c:v>27</c:v>
                </c:pt>
                <c:pt idx="314">
                  <c:v>27</c:v>
                </c:pt>
                <c:pt idx="315">
                  <c:v>27</c:v>
                </c:pt>
                <c:pt idx="316">
                  <c:v>27</c:v>
                </c:pt>
                <c:pt idx="317">
                  <c:v>27</c:v>
                </c:pt>
                <c:pt idx="318">
                  <c:v>27</c:v>
                </c:pt>
                <c:pt idx="319">
                  <c:v>27</c:v>
                </c:pt>
                <c:pt idx="320">
                  <c:v>27</c:v>
                </c:pt>
                <c:pt idx="321">
                  <c:v>27</c:v>
                </c:pt>
                <c:pt idx="322">
                  <c:v>27</c:v>
                </c:pt>
                <c:pt idx="323">
                  <c:v>27</c:v>
                </c:pt>
                <c:pt idx="324">
                  <c:v>28</c:v>
                </c:pt>
                <c:pt idx="325">
                  <c:v>28</c:v>
                </c:pt>
                <c:pt idx="326">
                  <c:v>28</c:v>
                </c:pt>
                <c:pt idx="327">
                  <c:v>28</c:v>
                </c:pt>
                <c:pt idx="328">
                  <c:v>28</c:v>
                </c:pt>
                <c:pt idx="329">
                  <c:v>28</c:v>
                </c:pt>
                <c:pt idx="330">
                  <c:v>28</c:v>
                </c:pt>
                <c:pt idx="331">
                  <c:v>28</c:v>
                </c:pt>
                <c:pt idx="332">
                  <c:v>28</c:v>
                </c:pt>
                <c:pt idx="333">
                  <c:v>28</c:v>
                </c:pt>
                <c:pt idx="334">
                  <c:v>28</c:v>
                </c:pt>
                <c:pt idx="335">
                  <c:v>28</c:v>
                </c:pt>
                <c:pt idx="336">
                  <c:v>29</c:v>
                </c:pt>
                <c:pt idx="337">
                  <c:v>29</c:v>
                </c:pt>
                <c:pt idx="338">
                  <c:v>29</c:v>
                </c:pt>
                <c:pt idx="339">
                  <c:v>29</c:v>
                </c:pt>
                <c:pt idx="340">
                  <c:v>29</c:v>
                </c:pt>
                <c:pt idx="341">
                  <c:v>29</c:v>
                </c:pt>
                <c:pt idx="342">
                  <c:v>29</c:v>
                </c:pt>
                <c:pt idx="343">
                  <c:v>29</c:v>
                </c:pt>
                <c:pt idx="344">
                  <c:v>29</c:v>
                </c:pt>
                <c:pt idx="345">
                  <c:v>29</c:v>
                </c:pt>
                <c:pt idx="346">
                  <c:v>29</c:v>
                </c:pt>
                <c:pt idx="347">
                  <c:v>29</c:v>
                </c:pt>
                <c:pt idx="348">
                  <c:v>30</c:v>
                </c:pt>
                <c:pt idx="349">
                  <c:v>30</c:v>
                </c:pt>
                <c:pt idx="350">
                  <c:v>30</c:v>
                </c:pt>
                <c:pt idx="351">
                  <c:v>30</c:v>
                </c:pt>
                <c:pt idx="352">
                  <c:v>30</c:v>
                </c:pt>
                <c:pt idx="353">
                  <c:v>30</c:v>
                </c:pt>
                <c:pt idx="354">
                  <c:v>30</c:v>
                </c:pt>
                <c:pt idx="355">
                  <c:v>30</c:v>
                </c:pt>
                <c:pt idx="356">
                  <c:v>30</c:v>
                </c:pt>
                <c:pt idx="357">
                  <c:v>30</c:v>
                </c:pt>
                <c:pt idx="358">
                  <c:v>30</c:v>
                </c:pt>
                <c:pt idx="359">
                  <c:v>30</c:v>
                </c:pt>
                <c:pt idx="360">
                  <c:v>31</c:v>
                </c:pt>
              </c:numCache>
            </c:numRef>
          </c:cat>
          <c:val>
            <c:numRef>
              <c:f>'Data Model Calculations'!$I$3:$I$362</c:f>
              <c:numCache>
                <c:formatCode>#,##0.00</c:formatCode>
                <c:ptCount val="360"/>
                <c:pt idx="0">
                  <c:v>9.894591554336575</c:v>
                </c:pt>
                <c:pt idx="1">
                  <c:v>10.03558310867315</c:v>
                </c:pt>
                <c:pt idx="2">
                  <c:v>10.176574663009726</c:v>
                </c:pt>
                <c:pt idx="3">
                  <c:v>10.3175662173463</c:v>
                </c:pt>
                <c:pt idx="4">
                  <c:v>10.458557771682877</c:v>
                </c:pt>
                <c:pt idx="5">
                  <c:v>10.599549326019451</c:v>
                </c:pt>
                <c:pt idx="6">
                  <c:v>10.740540880356026</c:v>
                </c:pt>
                <c:pt idx="7">
                  <c:v>10.881532434692602</c:v>
                </c:pt>
                <c:pt idx="8">
                  <c:v>11.022523989029176</c:v>
                </c:pt>
                <c:pt idx="9">
                  <c:v>11.163515543365753</c:v>
                </c:pt>
                <c:pt idx="10">
                  <c:v>11.304507097702327</c:v>
                </c:pt>
                <c:pt idx="11">
                  <c:v>11.445498652038902</c:v>
                </c:pt>
                <c:pt idx="12">
                  <c:v>11.586490206375478</c:v>
                </c:pt>
                <c:pt idx="13">
                  <c:v>11.727481760712053</c:v>
                </c:pt>
                <c:pt idx="14">
                  <c:v>11.868473315048629</c:v>
                </c:pt>
                <c:pt idx="15">
                  <c:v>12.009464869385203</c:v>
                </c:pt>
                <c:pt idx="16">
                  <c:v>12.150456423721778</c:v>
                </c:pt>
                <c:pt idx="17">
                  <c:v>12.291447978058354</c:v>
                </c:pt>
                <c:pt idx="18">
                  <c:v>12.432439532394929</c:v>
                </c:pt>
                <c:pt idx="19">
                  <c:v>12.573431086731503</c:v>
                </c:pt>
                <c:pt idx="20">
                  <c:v>12.714422641068079</c:v>
                </c:pt>
                <c:pt idx="21">
                  <c:v>12.855414195404654</c:v>
                </c:pt>
                <c:pt idx="22">
                  <c:v>12.99640574974123</c:v>
                </c:pt>
                <c:pt idx="23">
                  <c:v>13.137397304077805</c:v>
                </c:pt>
                <c:pt idx="24">
                  <c:v>13.278388858414379</c:v>
                </c:pt>
                <c:pt idx="25">
                  <c:v>13.419380412750956</c:v>
                </c:pt>
                <c:pt idx="26">
                  <c:v>13.56037196708753</c:v>
                </c:pt>
                <c:pt idx="27">
                  <c:v>13.701363521424106</c:v>
                </c:pt>
                <c:pt idx="28">
                  <c:v>13.842355075760681</c:v>
                </c:pt>
                <c:pt idx="29">
                  <c:v>13.983346630097255</c:v>
                </c:pt>
                <c:pt idx="30">
                  <c:v>14.124338184433832</c:v>
                </c:pt>
                <c:pt idx="31">
                  <c:v>14.265329738770406</c:v>
                </c:pt>
                <c:pt idx="32">
                  <c:v>14.406321293106982</c:v>
                </c:pt>
                <c:pt idx="33">
                  <c:v>14.547312847443557</c:v>
                </c:pt>
                <c:pt idx="34">
                  <c:v>14.688304401780131</c:v>
                </c:pt>
                <c:pt idx="35">
                  <c:v>14.829295956116708</c:v>
                </c:pt>
                <c:pt idx="36">
                  <c:v>14.970287510453282</c:v>
                </c:pt>
                <c:pt idx="37">
                  <c:v>15.111279064789858</c:v>
                </c:pt>
                <c:pt idx="38">
                  <c:v>15.252270619126433</c:v>
                </c:pt>
                <c:pt idx="39">
                  <c:v>15.252270619126433</c:v>
                </c:pt>
                <c:pt idx="40">
                  <c:v>15.252270619126433</c:v>
                </c:pt>
                <c:pt idx="41">
                  <c:v>15.252270619126433</c:v>
                </c:pt>
                <c:pt idx="42">
                  <c:v>15.252270619126433</c:v>
                </c:pt>
                <c:pt idx="43">
                  <c:v>15.252270619126433</c:v>
                </c:pt>
                <c:pt idx="44">
                  <c:v>15.252270619126433</c:v>
                </c:pt>
                <c:pt idx="45">
                  <c:v>15.252270619126433</c:v>
                </c:pt>
                <c:pt idx="46">
                  <c:v>15.252270619126433</c:v>
                </c:pt>
                <c:pt idx="47">
                  <c:v>15.252270619126433</c:v>
                </c:pt>
                <c:pt idx="48">
                  <c:v>15.252270619126433</c:v>
                </c:pt>
                <c:pt idx="49">
                  <c:v>15.252270619126433</c:v>
                </c:pt>
                <c:pt idx="50">
                  <c:v>15.252270619126433</c:v>
                </c:pt>
                <c:pt idx="51">
                  <c:v>15.252270619126433</c:v>
                </c:pt>
                <c:pt idx="52">
                  <c:v>15.252270619126433</c:v>
                </c:pt>
                <c:pt idx="53">
                  <c:v>15.252270619126433</c:v>
                </c:pt>
                <c:pt idx="54">
                  <c:v>15.252270619126433</c:v>
                </c:pt>
                <c:pt idx="55">
                  <c:v>15.252270619126433</c:v>
                </c:pt>
                <c:pt idx="56">
                  <c:v>15.252270619126433</c:v>
                </c:pt>
                <c:pt idx="57">
                  <c:v>15.252270619126433</c:v>
                </c:pt>
                <c:pt idx="58">
                  <c:v>15.252270619126433</c:v>
                </c:pt>
                <c:pt idx="59">
                  <c:v>15.252270619126433</c:v>
                </c:pt>
                <c:pt idx="60">
                  <c:v>15.252270619126433</c:v>
                </c:pt>
                <c:pt idx="61">
                  <c:v>15.252270619126433</c:v>
                </c:pt>
                <c:pt idx="62">
                  <c:v>15.252270619126433</c:v>
                </c:pt>
                <c:pt idx="63">
                  <c:v>15.252270619126433</c:v>
                </c:pt>
                <c:pt idx="64">
                  <c:v>15.252270619126433</c:v>
                </c:pt>
                <c:pt idx="65">
                  <c:v>15.252270619126433</c:v>
                </c:pt>
                <c:pt idx="66">
                  <c:v>15.252270619126433</c:v>
                </c:pt>
                <c:pt idx="67">
                  <c:v>15.252270619126433</c:v>
                </c:pt>
                <c:pt idx="68">
                  <c:v>15.252270619126433</c:v>
                </c:pt>
                <c:pt idx="69">
                  <c:v>15.252270619126433</c:v>
                </c:pt>
                <c:pt idx="70">
                  <c:v>15.252270619126433</c:v>
                </c:pt>
                <c:pt idx="71">
                  <c:v>15.252270619126433</c:v>
                </c:pt>
                <c:pt idx="72">
                  <c:v>15.252270619126433</c:v>
                </c:pt>
                <c:pt idx="73">
                  <c:v>15.252270619126433</c:v>
                </c:pt>
                <c:pt idx="74">
                  <c:v>15.252270619126433</c:v>
                </c:pt>
                <c:pt idx="75">
                  <c:v>15.252270619126433</c:v>
                </c:pt>
                <c:pt idx="76">
                  <c:v>15.252270619126433</c:v>
                </c:pt>
                <c:pt idx="77">
                  <c:v>15.252270619126433</c:v>
                </c:pt>
                <c:pt idx="78">
                  <c:v>15.252270619126433</c:v>
                </c:pt>
                <c:pt idx="79">
                  <c:v>15.252270619126433</c:v>
                </c:pt>
                <c:pt idx="80">
                  <c:v>15.252270619126433</c:v>
                </c:pt>
                <c:pt idx="81">
                  <c:v>15.252270619126433</c:v>
                </c:pt>
                <c:pt idx="82">
                  <c:v>15.252270619126433</c:v>
                </c:pt>
                <c:pt idx="83">
                  <c:v>15.252270619126433</c:v>
                </c:pt>
                <c:pt idx="84">
                  <c:v>15.252270619126433</c:v>
                </c:pt>
                <c:pt idx="85">
                  <c:v>15.252270619126433</c:v>
                </c:pt>
                <c:pt idx="86">
                  <c:v>15.252270619126433</c:v>
                </c:pt>
                <c:pt idx="87">
                  <c:v>15.252270619126433</c:v>
                </c:pt>
                <c:pt idx="88">
                  <c:v>15.252270619126433</c:v>
                </c:pt>
                <c:pt idx="89">
                  <c:v>15.252270619126433</c:v>
                </c:pt>
                <c:pt idx="90">
                  <c:v>15.252270619126433</c:v>
                </c:pt>
                <c:pt idx="91">
                  <c:v>15.252270619126433</c:v>
                </c:pt>
                <c:pt idx="92">
                  <c:v>15.252270619126433</c:v>
                </c:pt>
                <c:pt idx="93">
                  <c:v>15.252270619126433</c:v>
                </c:pt>
                <c:pt idx="94">
                  <c:v>15.252270619126433</c:v>
                </c:pt>
                <c:pt idx="95">
                  <c:v>15.252270619126433</c:v>
                </c:pt>
                <c:pt idx="96">
                  <c:v>15.252270619126433</c:v>
                </c:pt>
                <c:pt idx="97">
                  <c:v>15.252270619126433</c:v>
                </c:pt>
                <c:pt idx="98">
                  <c:v>15.252270619126433</c:v>
                </c:pt>
                <c:pt idx="99">
                  <c:v>15.252270619126433</c:v>
                </c:pt>
                <c:pt idx="100">
                  <c:v>15.252270619126433</c:v>
                </c:pt>
                <c:pt idx="101">
                  <c:v>15.252270619126433</c:v>
                </c:pt>
                <c:pt idx="102">
                  <c:v>15.252270619126433</c:v>
                </c:pt>
                <c:pt idx="103">
                  <c:v>15.252270619126433</c:v>
                </c:pt>
                <c:pt idx="104">
                  <c:v>15.252270619126433</c:v>
                </c:pt>
                <c:pt idx="105">
                  <c:v>15.252270619126433</c:v>
                </c:pt>
                <c:pt idx="106">
                  <c:v>15.252270619126433</c:v>
                </c:pt>
                <c:pt idx="107">
                  <c:v>15.252270619126433</c:v>
                </c:pt>
                <c:pt idx="108">
                  <c:v>15.252270619126433</c:v>
                </c:pt>
                <c:pt idx="109">
                  <c:v>15.252270619126433</c:v>
                </c:pt>
                <c:pt idx="110">
                  <c:v>15.252270619126433</c:v>
                </c:pt>
                <c:pt idx="111">
                  <c:v>15.252270619126433</c:v>
                </c:pt>
                <c:pt idx="112">
                  <c:v>15.252270619126433</c:v>
                </c:pt>
                <c:pt idx="113">
                  <c:v>15.252270619126433</c:v>
                </c:pt>
                <c:pt idx="114">
                  <c:v>15.252270619126433</c:v>
                </c:pt>
                <c:pt idx="115">
                  <c:v>15.252270619126433</c:v>
                </c:pt>
                <c:pt idx="116">
                  <c:v>15.252270619126433</c:v>
                </c:pt>
                <c:pt idx="117">
                  <c:v>15.252270619126433</c:v>
                </c:pt>
                <c:pt idx="118">
                  <c:v>15.252270619126433</c:v>
                </c:pt>
                <c:pt idx="119">
                  <c:v>15.252270619126433</c:v>
                </c:pt>
                <c:pt idx="120">
                  <c:v>15.252270619126433</c:v>
                </c:pt>
                <c:pt idx="121">
                  <c:v>15.252270619126433</c:v>
                </c:pt>
                <c:pt idx="122">
                  <c:v>15.252270619126433</c:v>
                </c:pt>
                <c:pt idx="123">
                  <c:v>15.252270619126433</c:v>
                </c:pt>
                <c:pt idx="124">
                  <c:v>15.252270619126433</c:v>
                </c:pt>
                <c:pt idx="125">
                  <c:v>15.252270619126433</c:v>
                </c:pt>
                <c:pt idx="126">
                  <c:v>15.252270619126433</c:v>
                </c:pt>
                <c:pt idx="127">
                  <c:v>15.252270619126433</c:v>
                </c:pt>
                <c:pt idx="128">
                  <c:v>15.252270619126433</c:v>
                </c:pt>
                <c:pt idx="129">
                  <c:v>15.252270619126433</c:v>
                </c:pt>
                <c:pt idx="130">
                  <c:v>15.252270619126433</c:v>
                </c:pt>
                <c:pt idx="131">
                  <c:v>15.252270619126433</c:v>
                </c:pt>
                <c:pt idx="132">
                  <c:v>15.252270619126433</c:v>
                </c:pt>
                <c:pt idx="133">
                  <c:v>15.252270619126433</c:v>
                </c:pt>
                <c:pt idx="134">
                  <c:v>15.252270619126433</c:v>
                </c:pt>
                <c:pt idx="135">
                  <c:v>15.252270619126433</c:v>
                </c:pt>
                <c:pt idx="136">
                  <c:v>15.252270619126433</c:v>
                </c:pt>
                <c:pt idx="137">
                  <c:v>15.252270619126433</c:v>
                </c:pt>
                <c:pt idx="138">
                  <c:v>15.252270619126433</c:v>
                </c:pt>
                <c:pt idx="139">
                  <c:v>15.252270619126433</c:v>
                </c:pt>
                <c:pt idx="140">
                  <c:v>15.252270619126433</c:v>
                </c:pt>
                <c:pt idx="141">
                  <c:v>15.252270619126433</c:v>
                </c:pt>
                <c:pt idx="142">
                  <c:v>15.252270619126433</c:v>
                </c:pt>
                <c:pt idx="143">
                  <c:v>15.252270619126433</c:v>
                </c:pt>
                <c:pt idx="144">
                  <c:v>15.252270619126433</c:v>
                </c:pt>
                <c:pt idx="145">
                  <c:v>15.252270619126433</c:v>
                </c:pt>
                <c:pt idx="146">
                  <c:v>15.252270619126433</c:v>
                </c:pt>
                <c:pt idx="147">
                  <c:v>15.252270619126433</c:v>
                </c:pt>
                <c:pt idx="148">
                  <c:v>15.252270619126433</c:v>
                </c:pt>
                <c:pt idx="149">
                  <c:v>15.252270619126433</c:v>
                </c:pt>
                <c:pt idx="150">
                  <c:v>15.252270619126433</c:v>
                </c:pt>
                <c:pt idx="151">
                  <c:v>15.252270619126433</c:v>
                </c:pt>
                <c:pt idx="152">
                  <c:v>15.252270619126433</c:v>
                </c:pt>
                <c:pt idx="153">
                  <c:v>15.252270619126433</c:v>
                </c:pt>
                <c:pt idx="154">
                  <c:v>15.252270619126433</c:v>
                </c:pt>
                <c:pt idx="155">
                  <c:v>15.252270619126433</c:v>
                </c:pt>
                <c:pt idx="156">
                  <c:v>15.252270619126433</c:v>
                </c:pt>
                <c:pt idx="157">
                  <c:v>15.252270619126433</c:v>
                </c:pt>
                <c:pt idx="158">
                  <c:v>15.252270619126433</c:v>
                </c:pt>
                <c:pt idx="159">
                  <c:v>15.252270619126433</c:v>
                </c:pt>
                <c:pt idx="160">
                  <c:v>15.252270619126433</c:v>
                </c:pt>
                <c:pt idx="161">
                  <c:v>15.252270619126433</c:v>
                </c:pt>
                <c:pt idx="162">
                  <c:v>15.252270619126433</c:v>
                </c:pt>
                <c:pt idx="163">
                  <c:v>15.252270619126433</c:v>
                </c:pt>
                <c:pt idx="164">
                  <c:v>15.252270619126433</c:v>
                </c:pt>
                <c:pt idx="165">
                  <c:v>15.252270619126433</c:v>
                </c:pt>
                <c:pt idx="166">
                  <c:v>15.252270619126433</c:v>
                </c:pt>
                <c:pt idx="167">
                  <c:v>15.252270619126433</c:v>
                </c:pt>
                <c:pt idx="168">
                  <c:v>15.252270619126433</c:v>
                </c:pt>
                <c:pt idx="169">
                  <c:v>15.252270619126433</c:v>
                </c:pt>
                <c:pt idx="170">
                  <c:v>15.252270619126433</c:v>
                </c:pt>
                <c:pt idx="171">
                  <c:v>15.252270619126433</c:v>
                </c:pt>
                <c:pt idx="172">
                  <c:v>15.252270619126433</c:v>
                </c:pt>
                <c:pt idx="173">
                  <c:v>15.252270619126433</c:v>
                </c:pt>
                <c:pt idx="174">
                  <c:v>15.252270619126433</c:v>
                </c:pt>
                <c:pt idx="175">
                  <c:v>15.252270619126433</c:v>
                </c:pt>
                <c:pt idx="176">
                  <c:v>15.252270619126433</c:v>
                </c:pt>
                <c:pt idx="177">
                  <c:v>15.252270619126433</c:v>
                </c:pt>
                <c:pt idx="178">
                  <c:v>15.252270619126433</c:v>
                </c:pt>
                <c:pt idx="179">
                  <c:v>15.252270619126433</c:v>
                </c:pt>
                <c:pt idx="180">
                  <c:v>15.252270619126433</c:v>
                </c:pt>
                <c:pt idx="181">
                  <c:v>15.252270619126433</c:v>
                </c:pt>
                <c:pt idx="182">
                  <c:v>15.252270619126433</c:v>
                </c:pt>
                <c:pt idx="183">
                  <c:v>15.252270619126433</c:v>
                </c:pt>
                <c:pt idx="184">
                  <c:v>15.252270619126433</c:v>
                </c:pt>
                <c:pt idx="185">
                  <c:v>15.252270619126433</c:v>
                </c:pt>
                <c:pt idx="186">
                  <c:v>15.252270619126433</c:v>
                </c:pt>
                <c:pt idx="187">
                  <c:v>15.252270619126433</c:v>
                </c:pt>
                <c:pt idx="188">
                  <c:v>15.252270619126433</c:v>
                </c:pt>
                <c:pt idx="189">
                  <c:v>15.252270619126433</c:v>
                </c:pt>
                <c:pt idx="190">
                  <c:v>15.252270619126433</c:v>
                </c:pt>
                <c:pt idx="191">
                  <c:v>15.252270619126433</c:v>
                </c:pt>
                <c:pt idx="192">
                  <c:v>15.252270619126433</c:v>
                </c:pt>
                <c:pt idx="193">
                  <c:v>15.252270619126433</c:v>
                </c:pt>
                <c:pt idx="194">
                  <c:v>15.252270619126433</c:v>
                </c:pt>
                <c:pt idx="195">
                  <c:v>15.252270619126433</c:v>
                </c:pt>
                <c:pt idx="196">
                  <c:v>15.252270619126433</c:v>
                </c:pt>
                <c:pt idx="197">
                  <c:v>15.252270619126433</c:v>
                </c:pt>
                <c:pt idx="198">
                  <c:v>15.252270619126433</c:v>
                </c:pt>
                <c:pt idx="199">
                  <c:v>15.252270619126433</c:v>
                </c:pt>
                <c:pt idx="200">
                  <c:v>15.252270619126433</c:v>
                </c:pt>
                <c:pt idx="201">
                  <c:v>15.252270619126433</c:v>
                </c:pt>
                <c:pt idx="202">
                  <c:v>15.252270619126433</c:v>
                </c:pt>
                <c:pt idx="203">
                  <c:v>15.252270619126433</c:v>
                </c:pt>
                <c:pt idx="204">
                  <c:v>15.252270619126433</c:v>
                </c:pt>
                <c:pt idx="205">
                  <c:v>15.252270619126433</c:v>
                </c:pt>
                <c:pt idx="206">
                  <c:v>15.252270619126433</c:v>
                </c:pt>
                <c:pt idx="207">
                  <c:v>15.252270619126433</c:v>
                </c:pt>
                <c:pt idx="208">
                  <c:v>15.252270619126433</c:v>
                </c:pt>
                <c:pt idx="209">
                  <c:v>15.252270619126433</c:v>
                </c:pt>
                <c:pt idx="210">
                  <c:v>15.252270619126433</c:v>
                </c:pt>
                <c:pt idx="211">
                  <c:v>15.252270619126433</c:v>
                </c:pt>
                <c:pt idx="212">
                  <c:v>15.252270619126433</c:v>
                </c:pt>
                <c:pt idx="213">
                  <c:v>15.252270619126433</c:v>
                </c:pt>
                <c:pt idx="214">
                  <c:v>15.252270619126433</c:v>
                </c:pt>
                <c:pt idx="215">
                  <c:v>15.252270619126433</c:v>
                </c:pt>
                <c:pt idx="216">
                  <c:v>15.252270619126433</c:v>
                </c:pt>
                <c:pt idx="217">
                  <c:v>15.252270619126433</c:v>
                </c:pt>
                <c:pt idx="218">
                  <c:v>15.252270619126433</c:v>
                </c:pt>
                <c:pt idx="219">
                  <c:v>15.252270619126433</c:v>
                </c:pt>
                <c:pt idx="220">
                  <c:v>15.252270619126433</c:v>
                </c:pt>
                <c:pt idx="221">
                  <c:v>15.252270619126433</c:v>
                </c:pt>
                <c:pt idx="222">
                  <c:v>15.252270619126433</c:v>
                </c:pt>
                <c:pt idx="223">
                  <c:v>15.252270619126433</c:v>
                </c:pt>
                <c:pt idx="224">
                  <c:v>15.252270619126433</c:v>
                </c:pt>
                <c:pt idx="225">
                  <c:v>15.252270619126433</c:v>
                </c:pt>
                <c:pt idx="226">
                  <c:v>15.252270619126433</c:v>
                </c:pt>
                <c:pt idx="227">
                  <c:v>15.252270619126433</c:v>
                </c:pt>
                <c:pt idx="228">
                  <c:v>15.252270619126433</c:v>
                </c:pt>
                <c:pt idx="229">
                  <c:v>15.252270619126433</c:v>
                </c:pt>
                <c:pt idx="230">
                  <c:v>15.252270619126433</c:v>
                </c:pt>
                <c:pt idx="231">
                  <c:v>15.252270619126433</c:v>
                </c:pt>
                <c:pt idx="232">
                  <c:v>15.252270619126433</c:v>
                </c:pt>
                <c:pt idx="233">
                  <c:v>15.252270619126433</c:v>
                </c:pt>
                <c:pt idx="234">
                  <c:v>15.252270619126433</c:v>
                </c:pt>
                <c:pt idx="235">
                  <c:v>15.252270619126433</c:v>
                </c:pt>
                <c:pt idx="236">
                  <c:v>15.252270619126433</c:v>
                </c:pt>
                <c:pt idx="237">
                  <c:v>15.252270619126433</c:v>
                </c:pt>
                <c:pt idx="238">
                  <c:v>15.252270619126433</c:v>
                </c:pt>
                <c:pt idx="239">
                  <c:v>15.252270619126433</c:v>
                </c:pt>
                <c:pt idx="240">
                  <c:v>15.252270619126433</c:v>
                </c:pt>
                <c:pt idx="241">
                  <c:v>15.252270619126433</c:v>
                </c:pt>
                <c:pt idx="242">
                  <c:v>15.252270619126433</c:v>
                </c:pt>
                <c:pt idx="243">
                  <c:v>15.252270619126433</c:v>
                </c:pt>
                <c:pt idx="244">
                  <c:v>15.252270619126433</c:v>
                </c:pt>
                <c:pt idx="245">
                  <c:v>15.252270619126433</c:v>
                </c:pt>
                <c:pt idx="246">
                  <c:v>15.252270619126433</c:v>
                </c:pt>
                <c:pt idx="247">
                  <c:v>15.252270619126433</c:v>
                </c:pt>
                <c:pt idx="248">
                  <c:v>15.252270619126433</c:v>
                </c:pt>
                <c:pt idx="249">
                  <c:v>15.252270619126433</c:v>
                </c:pt>
                <c:pt idx="250">
                  <c:v>15.252270619126433</c:v>
                </c:pt>
                <c:pt idx="251">
                  <c:v>15.252270619126433</c:v>
                </c:pt>
                <c:pt idx="252">
                  <c:v>15.252270619126433</c:v>
                </c:pt>
                <c:pt idx="253">
                  <c:v>15.252270619126433</c:v>
                </c:pt>
                <c:pt idx="254">
                  <c:v>15.252270619126433</c:v>
                </c:pt>
                <c:pt idx="255">
                  <c:v>15.252270619126433</c:v>
                </c:pt>
                <c:pt idx="256">
                  <c:v>15.252270619126433</c:v>
                </c:pt>
                <c:pt idx="257">
                  <c:v>15.252270619126433</c:v>
                </c:pt>
                <c:pt idx="258">
                  <c:v>15.252270619126433</c:v>
                </c:pt>
                <c:pt idx="259">
                  <c:v>15.252270619126433</c:v>
                </c:pt>
                <c:pt idx="260">
                  <c:v>15.252270619126433</c:v>
                </c:pt>
                <c:pt idx="261">
                  <c:v>15.252270619126433</c:v>
                </c:pt>
                <c:pt idx="262">
                  <c:v>15.252270619126433</c:v>
                </c:pt>
                <c:pt idx="263">
                  <c:v>15.252270619126433</c:v>
                </c:pt>
                <c:pt idx="264">
                  <c:v>15.252270619126433</c:v>
                </c:pt>
                <c:pt idx="265">
                  <c:v>15.252270619126433</c:v>
                </c:pt>
                <c:pt idx="266">
                  <c:v>15.252270619126433</c:v>
                </c:pt>
                <c:pt idx="267">
                  <c:v>15.252270619126433</c:v>
                </c:pt>
                <c:pt idx="268">
                  <c:v>15.252270619126433</c:v>
                </c:pt>
                <c:pt idx="269">
                  <c:v>15.252270619126433</c:v>
                </c:pt>
                <c:pt idx="270">
                  <c:v>15.252270619126433</c:v>
                </c:pt>
                <c:pt idx="271">
                  <c:v>15.252270619126433</c:v>
                </c:pt>
                <c:pt idx="272">
                  <c:v>15.252270619126433</c:v>
                </c:pt>
                <c:pt idx="273">
                  <c:v>15.252270619126433</c:v>
                </c:pt>
                <c:pt idx="274">
                  <c:v>15.252270619126433</c:v>
                </c:pt>
                <c:pt idx="275">
                  <c:v>15.252270619126433</c:v>
                </c:pt>
                <c:pt idx="276">
                  <c:v>15.252270619126433</c:v>
                </c:pt>
                <c:pt idx="277">
                  <c:v>15.252270619126433</c:v>
                </c:pt>
                <c:pt idx="278">
                  <c:v>15.252270619126433</c:v>
                </c:pt>
                <c:pt idx="279">
                  <c:v>15.252270619126433</c:v>
                </c:pt>
                <c:pt idx="280">
                  <c:v>15.252270619126433</c:v>
                </c:pt>
                <c:pt idx="281">
                  <c:v>15.252270619126433</c:v>
                </c:pt>
                <c:pt idx="282">
                  <c:v>15.252270619126433</c:v>
                </c:pt>
                <c:pt idx="283">
                  <c:v>15.252270619126433</c:v>
                </c:pt>
                <c:pt idx="284">
                  <c:v>15.252270619126433</c:v>
                </c:pt>
                <c:pt idx="285">
                  <c:v>15.252270619126433</c:v>
                </c:pt>
                <c:pt idx="286">
                  <c:v>15.252270619126433</c:v>
                </c:pt>
                <c:pt idx="287">
                  <c:v>15.252270619126433</c:v>
                </c:pt>
                <c:pt idx="288">
                  <c:v>15.252270619126433</c:v>
                </c:pt>
                <c:pt idx="289">
                  <c:v>15.252270619126433</c:v>
                </c:pt>
                <c:pt idx="290">
                  <c:v>15.252270619126433</c:v>
                </c:pt>
                <c:pt idx="291">
                  <c:v>15.252270619126433</c:v>
                </c:pt>
                <c:pt idx="292">
                  <c:v>15.252270619126433</c:v>
                </c:pt>
                <c:pt idx="293">
                  <c:v>15.252270619126433</c:v>
                </c:pt>
                <c:pt idx="294">
                  <c:v>15.252270619126433</c:v>
                </c:pt>
                <c:pt idx="295">
                  <c:v>15.252270619126433</c:v>
                </c:pt>
                <c:pt idx="296">
                  <c:v>15.252270619126433</c:v>
                </c:pt>
                <c:pt idx="297">
                  <c:v>15.252270619126433</c:v>
                </c:pt>
                <c:pt idx="298">
                  <c:v>15.252270619126433</c:v>
                </c:pt>
                <c:pt idx="299">
                  <c:v>15.252270619126433</c:v>
                </c:pt>
                <c:pt idx="300">
                  <c:v>15.252270619126433</c:v>
                </c:pt>
                <c:pt idx="301">
                  <c:v>15.252270619126433</c:v>
                </c:pt>
                <c:pt idx="302">
                  <c:v>15.252270619126433</c:v>
                </c:pt>
                <c:pt idx="303">
                  <c:v>15.252270619126433</c:v>
                </c:pt>
                <c:pt idx="304">
                  <c:v>15.252270619126433</c:v>
                </c:pt>
                <c:pt idx="305">
                  <c:v>15.252270619126433</c:v>
                </c:pt>
                <c:pt idx="306">
                  <c:v>15.252270619126433</c:v>
                </c:pt>
                <c:pt idx="307">
                  <c:v>15.252270619126433</c:v>
                </c:pt>
                <c:pt idx="308">
                  <c:v>15.252270619126433</c:v>
                </c:pt>
                <c:pt idx="309">
                  <c:v>15.252270619126433</c:v>
                </c:pt>
                <c:pt idx="310">
                  <c:v>15.252270619126433</c:v>
                </c:pt>
                <c:pt idx="311">
                  <c:v>15.252270619126433</c:v>
                </c:pt>
                <c:pt idx="312">
                  <c:v>15.252270619126433</c:v>
                </c:pt>
                <c:pt idx="313">
                  <c:v>15.252270619126433</c:v>
                </c:pt>
                <c:pt idx="314">
                  <c:v>15.252270619126433</c:v>
                </c:pt>
                <c:pt idx="315">
                  <c:v>15.252270619126433</c:v>
                </c:pt>
                <c:pt idx="316">
                  <c:v>15.252270619126433</c:v>
                </c:pt>
                <c:pt idx="317">
                  <c:v>15.252270619126433</c:v>
                </c:pt>
                <c:pt idx="318">
                  <c:v>15.252270619126433</c:v>
                </c:pt>
                <c:pt idx="319">
                  <c:v>15.252270619126433</c:v>
                </c:pt>
                <c:pt idx="320">
                  <c:v>15.252270619126433</c:v>
                </c:pt>
                <c:pt idx="321">
                  <c:v>15.252270619126433</c:v>
                </c:pt>
                <c:pt idx="322">
                  <c:v>15.252270619126433</c:v>
                </c:pt>
                <c:pt idx="323">
                  <c:v>15.252270619126433</c:v>
                </c:pt>
                <c:pt idx="324">
                  <c:v>15.252270619126433</c:v>
                </c:pt>
                <c:pt idx="325">
                  <c:v>15.252270619126433</c:v>
                </c:pt>
                <c:pt idx="326">
                  <c:v>15.252270619126433</c:v>
                </c:pt>
                <c:pt idx="327">
                  <c:v>15.252270619126433</c:v>
                </c:pt>
                <c:pt idx="328">
                  <c:v>15.252270619126433</c:v>
                </c:pt>
                <c:pt idx="329">
                  <c:v>15.252270619126433</c:v>
                </c:pt>
                <c:pt idx="330">
                  <c:v>15.252270619126433</c:v>
                </c:pt>
                <c:pt idx="331">
                  <c:v>15.252270619126433</c:v>
                </c:pt>
                <c:pt idx="332">
                  <c:v>15.252270619126433</c:v>
                </c:pt>
                <c:pt idx="333">
                  <c:v>15.252270619126433</c:v>
                </c:pt>
                <c:pt idx="334">
                  <c:v>15.252270619126433</c:v>
                </c:pt>
                <c:pt idx="335">
                  <c:v>15.252270619126433</c:v>
                </c:pt>
                <c:pt idx="336">
                  <c:v>15.252270619126433</c:v>
                </c:pt>
                <c:pt idx="337">
                  <c:v>15.252270619126433</c:v>
                </c:pt>
                <c:pt idx="338">
                  <c:v>15.252270619126433</c:v>
                </c:pt>
                <c:pt idx="339">
                  <c:v>15.252270619126433</c:v>
                </c:pt>
                <c:pt idx="340">
                  <c:v>15.252270619126433</c:v>
                </c:pt>
                <c:pt idx="341">
                  <c:v>15.252270619126433</c:v>
                </c:pt>
                <c:pt idx="342">
                  <c:v>15.252270619126433</c:v>
                </c:pt>
                <c:pt idx="343">
                  <c:v>15.252270619126433</c:v>
                </c:pt>
                <c:pt idx="344">
                  <c:v>15.252270619126433</c:v>
                </c:pt>
                <c:pt idx="345">
                  <c:v>15.252270619126433</c:v>
                </c:pt>
                <c:pt idx="346">
                  <c:v>15.252270619126433</c:v>
                </c:pt>
                <c:pt idx="347">
                  <c:v>15.252270619126433</c:v>
                </c:pt>
                <c:pt idx="348">
                  <c:v>15.252270619126433</c:v>
                </c:pt>
                <c:pt idx="349">
                  <c:v>15.252270619126433</c:v>
                </c:pt>
                <c:pt idx="350">
                  <c:v>15.252270619126433</c:v>
                </c:pt>
                <c:pt idx="351">
                  <c:v>15.252270619126433</c:v>
                </c:pt>
                <c:pt idx="352">
                  <c:v>15.252270619126433</c:v>
                </c:pt>
                <c:pt idx="353">
                  <c:v>15.252270619126433</c:v>
                </c:pt>
                <c:pt idx="354">
                  <c:v>15.252270619126433</c:v>
                </c:pt>
                <c:pt idx="355">
                  <c:v>15.252270619126433</c:v>
                </c:pt>
                <c:pt idx="356">
                  <c:v>15.252270619126433</c:v>
                </c:pt>
                <c:pt idx="357">
                  <c:v>15.252270619126433</c:v>
                </c:pt>
                <c:pt idx="358">
                  <c:v>15.252270619126433</c:v>
                </c:pt>
                <c:pt idx="359">
                  <c:v>15.252270619126433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E6E-4B58-8CA0-5F5073CADA3E}"/>
            </c:ext>
          </c:extLst>
        </c:ser>
        <c:ser>
          <c:idx val="2"/>
          <c:order val="1"/>
          <c:tx>
            <c:v>Baseline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'Hydrological Data Model'!#REF!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E6E-4B58-8CA0-5F5073CAD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8326543"/>
        <c:axId val="988333615"/>
      </c:lineChart>
      <c:catAx>
        <c:axId val="988326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</a:t>
                </a:r>
              </a:p>
            </c:rich>
          </c:tx>
          <c:layout>
            <c:manualLayout>
              <c:xMode val="edge"/>
              <c:yMode val="edge"/>
              <c:x val="0.48457002503240981"/>
              <c:y val="0.945380956591789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333615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98833361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326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Salinity over time (g/L)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Constrained Tunnel Throughput Plan</c:v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'Data Model Calculations'!$A$3:$A$663</c:f>
              <c:numCache>
                <c:formatCode>General</c:formatCode>
                <c:ptCount val="66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8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13</c:v>
                </c:pt>
                <c:pt idx="148">
                  <c:v>13</c:v>
                </c:pt>
                <c:pt idx="149">
                  <c:v>13</c:v>
                </c:pt>
                <c:pt idx="150">
                  <c:v>13</c:v>
                </c:pt>
                <c:pt idx="151">
                  <c:v>13</c:v>
                </c:pt>
                <c:pt idx="152">
                  <c:v>13</c:v>
                </c:pt>
                <c:pt idx="153">
                  <c:v>13</c:v>
                </c:pt>
                <c:pt idx="154">
                  <c:v>13</c:v>
                </c:pt>
                <c:pt idx="155">
                  <c:v>13</c:v>
                </c:pt>
                <c:pt idx="156">
                  <c:v>14</c:v>
                </c:pt>
                <c:pt idx="157">
                  <c:v>14</c:v>
                </c:pt>
                <c:pt idx="158">
                  <c:v>14</c:v>
                </c:pt>
                <c:pt idx="159">
                  <c:v>14</c:v>
                </c:pt>
                <c:pt idx="160">
                  <c:v>14</c:v>
                </c:pt>
                <c:pt idx="161">
                  <c:v>14</c:v>
                </c:pt>
                <c:pt idx="162">
                  <c:v>14</c:v>
                </c:pt>
                <c:pt idx="163">
                  <c:v>14</c:v>
                </c:pt>
                <c:pt idx="164">
                  <c:v>14</c:v>
                </c:pt>
                <c:pt idx="165">
                  <c:v>14</c:v>
                </c:pt>
                <c:pt idx="166">
                  <c:v>14</c:v>
                </c:pt>
                <c:pt idx="167">
                  <c:v>14</c:v>
                </c:pt>
                <c:pt idx="168">
                  <c:v>15</c:v>
                </c:pt>
                <c:pt idx="169">
                  <c:v>15</c:v>
                </c:pt>
                <c:pt idx="170">
                  <c:v>15</c:v>
                </c:pt>
                <c:pt idx="171">
                  <c:v>15</c:v>
                </c:pt>
                <c:pt idx="172">
                  <c:v>15</c:v>
                </c:pt>
                <c:pt idx="173">
                  <c:v>15</c:v>
                </c:pt>
                <c:pt idx="174">
                  <c:v>15</c:v>
                </c:pt>
                <c:pt idx="175">
                  <c:v>15</c:v>
                </c:pt>
                <c:pt idx="176">
                  <c:v>15</c:v>
                </c:pt>
                <c:pt idx="177">
                  <c:v>15</c:v>
                </c:pt>
                <c:pt idx="178">
                  <c:v>15</c:v>
                </c:pt>
                <c:pt idx="179">
                  <c:v>15</c:v>
                </c:pt>
                <c:pt idx="180">
                  <c:v>16</c:v>
                </c:pt>
                <c:pt idx="181">
                  <c:v>16</c:v>
                </c:pt>
                <c:pt idx="182">
                  <c:v>16</c:v>
                </c:pt>
                <c:pt idx="183">
                  <c:v>16</c:v>
                </c:pt>
                <c:pt idx="184">
                  <c:v>16</c:v>
                </c:pt>
                <c:pt idx="185">
                  <c:v>16</c:v>
                </c:pt>
                <c:pt idx="186">
                  <c:v>16</c:v>
                </c:pt>
                <c:pt idx="187">
                  <c:v>16</c:v>
                </c:pt>
                <c:pt idx="188">
                  <c:v>16</c:v>
                </c:pt>
                <c:pt idx="189">
                  <c:v>16</c:v>
                </c:pt>
                <c:pt idx="190">
                  <c:v>16</c:v>
                </c:pt>
                <c:pt idx="191">
                  <c:v>16</c:v>
                </c:pt>
                <c:pt idx="192">
                  <c:v>17</c:v>
                </c:pt>
                <c:pt idx="193">
                  <c:v>17</c:v>
                </c:pt>
                <c:pt idx="194">
                  <c:v>17</c:v>
                </c:pt>
                <c:pt idx="195">
                  <c:v>17</c:v>
                </c:pt>
                <c:pt idx="196">
                  <c:v>17</c:v>
                </c:pt>
                <c:pt idx="197">
                  <c:v>17</c:v>
                </c:pt>
                <c:pt idx="198">
                  <c:v>17</c:v>
                </c:pt>
                <c:pt idx="199">
                  <c:v>17</c:v>
                </c:pt>
                <c:pt idx="200">
                  <c:v>17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18</c:v>
                </c:pt>
                <c:pt idx="205">
                  <c:v>18</c:v>
                </c:pt>
                <c:pt idx="206">
                  <c:v>18</c:v>
                </c:pt>
                <c:pt idx="207">
                  <c:v>18</c:v>
                </c:pt>
                <c:pt idx="208">
                  <c:v>18</c:v>
                </c:pt>
                <c:pt idx="209">
                  <c:v>18</c:v>
                </c:pt>
                <c:pt idx="210">
                  <c:v>18</c:v>
                </c:pt>
                <c:pt idx="211">
                  <c:v>18</c:v>
                </c:pt>
                <c:pt idx="212">
                  <c:v>18</c:v>
                </c:pt>
                <c:pt idx="213">
                  <c:v>18</c:v>
                </c:pt>
                <c:pt idx="214">
                  <c:v>18</c:v>
                </c:pt>
                <c:pt idx="215">
                  <c:v>18</c:v>
                </c:pt>
                <c:pt idx="216">
                  <c:v>19</c:v>
                </c:pt>
                <c:pt idx="217">
                  <c:v>19</c:v>
                </c:pt>
                <c:pt idx="218">
                  <c:v>19</c:v>
                </c:pt>
                <c:pt idx="219">
                  <c:v>19</c:v>
                </c:pt>
                <c:pt idx="220">
                  <c:v>19</c:v>
                </c:pt>
                <c:pt idx="221">
                  <c:v>19</c:v>
                </c:pt>
                <c:pt idx="222">
                  <c:v>19</c:v>
                </c:pt>
                <c:pt idx="223">
                  <c:v>19</c:v>
                </c:pt>
                <c:pt idx="224">
                  <c:v>19</c:v>
                </c:pt>
                <c:pt idx="225">
                  <c:v>19</c:v>
                </c:pt>
                <c:pt idx="226">
                  <c:v>19</c:v>
                </c:pt>
                <c:pt idx="227">
                  <c:v>19</c:v>
                </c:pt>
                <c:pt idx="228">
                  <c:v>20</c:v>
                </c:pt>
                <c:pt idx="229">
                  <c:v>20</c:v>
                </c:pt>
                <c:pt idx="230">
                  <c:v>20</c:v>
                </c:pt>
                <c:pt idx="231">
                  <c:v>20</c:v>
                </c:pt>
                <c:pt idx="232">
                  <c:v>20</c:v>
                </c:pt>
                <c:pt idx="233">
                  <c:v>20</c:v>
                </c:pt>
                <c:pt idx="234">
                  <c:v>20</c:v>
                </c:pt>
                <c:pt idx="235">
                  <c:v>20</c:v>
                </c:pt>
                <c:pt idx="236">
                  <c:v>20</c:v>
                </c:pt>
                <c:pt idx="237">
                  <c:v>20</c:v>
                </c:pt>
                <c:pt idx="238">
                  <c:v>20</c:v>
                </c:pt>
                <c:pt idx="239">
                  <c:v>20</c:v>
                </c:pt>
                <c:pt idx="240">
                  <c:v>21</c:v>
                </c:pt>
                <c:pt idx="241">
                  <c:v>21</c:v>
                </c:pt>
                <c:pt idx="242">
                  <c:v>21</c:v>
                </c:pt>
                <c:pt idx="243">
                  <c:v>21</c:v>
                </c:pt>
                <c:pt idx="244">
                  <c:v>21</c:v>
                </c:pt>
                <c:pt idx="245">
                  <c:v>21</c:v>
                </c:pt>
                <c:pt idx="246">
                  <c:v>21</c:v>
                </c:pt>
                <c:pt idx="247">
                  <c:v>21</c:v>
                </c:pt>
                <c:pt idx="248">
                  <c:v>21</c:v>
                </c:pt>
                <c:pt idx="249">
                  <c:v>21</c:v>
                </c:pt>
                <c:pt idx="250">
                  <c:v>21</c:v>
                </c:pt>
                <c:pt idx="251">
                  <c:v>21</c:v>
                </c:pt>
                <c:pt idx="252">
                  <c:v>22</c:v>
                </c:pt>
                <c:pt idx="253">
                  <c:v>22</c:v>
                </c:pt>
                <c:pt idx="254">
                  <c:v>22</c:v>
                </c:pt>
                <c:pt idx="255">
                  <c:v>22</c:v>
                </c:pt>
                <c:pt idx="256">
                  <c:v>22</c:v>
                </c:pt>
                <c:pt idx="257">
                  <c:v>22</c:v>
                </c:pt>
                <c:pt idx="258">
                  <c:v>22</c:v>
                </c:pt>
                <c:pt idx="259">
                  <c:v>22</c:v>
                </c:pt>
                <c:pt idx="260">
                  <c:v>22</c:v>
                </c:pt>
                <c:pt idx="261">
                  <c:v>22</c:v>
                </c:pt>
                <c:pt idx="262">
                  <c:v>22</c:v>
                </c:pt>
                <c:pt idx="263">
                  <c:v>22</c:v>
                </c:pt>
                <c:pt idx="264">
                  <c:v>23</c:v>
                </c:pt>
                <c:pt idx="265">
                  <c:v>23</c:v>
                </c:pt>
                <c:pt idx="266">
                  <c:v>23</c:v>
                </c:pt>
                <c:pt idx="267">
                  <c:v>23</c:v>
                </c:pt>
                <c:pt idx="268">
                  <c:v>23</c:v>
                </c:pt>
                <c:pt idx="269">
                  <c:v>23</c:v>
                </c:pt>
                <c:pt idx="270">
                  <c:v>23</c:v>
                </c:pt>
                <c:pt idx="271">
                  <c:v>23</c:v>
                </c:pt>
                <c:pt idx="272">
                  <c:v>23</c:v>
                </c:pt>
                <c:pt idx="273">
                  <c:v>23</c:v>
                </c:pt>
                <c:pt idx="274">
                  <c:v>23</c:v>
                </c:pt>
                <c:pt idx="275">
                  <c:v>23</c:v>
                </c:pt>
                <c:pt idx="276">
                  <c:v>24</c:v>
                </c:pt>
                <c:pt idx="277">
                  <c:v>24</c:v>
                </c:pt>
                <c:pt idx="278">
                  <c:v>24</c:v>
                </c:pt>
                <c:pt idx="279">
                  <c:v>24</c:v>
                </c:pt>
                <c:pt idx="280">
                  <c:v>24</c:v>
                </c:pt>
                <c:pt idx="281">
                  <c:v>24</c:v>
                </c:pt>
                <c:pt idx="282">
                  <c:v>24</c:v>
                </c:pt>
                <c:pt idx="283">
                  <c:v>24</c:v>
                </c:pt>
                <c:pt idx="284">
                  <c:v>24</c:v>
                </c:pt>
                <c:pt idx="285">
                  <c:v>24</c:v>
                </c:pt>
                <c:pt idx="286">
                  <c:v>24</c:v>
                </c:pt>
                <c:pt idx="287">
                  <c:v>24</c:v>
                </c:pt>
                <c:pt idx="288">
                  <c:v>25</c:v>
                </c:pt>
                <c:pt idx="289">
                  <c:v>25</c:v>
                </c:pt>
                <c:pt idx="290">
                  <c:v>25</c:v>
                </c:pt>
                <c:pt idx="291">
                  <c:v>25</c:v>
                </c:pt>
                <c:pt idx="292">
                  <c:v>25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25</c:v>
                </c:pt>
                <c:pt idx="297">
                  <c:v>25</c:v>
                </c:pt>
                <c:pt idx="298">
                  <c:v>25</c:v>
                </c:pt>
                <c:pt idx="299">
                  <c:v>25</c:v>
                </c:pt>
                <c:pt idx="300">
                  <c:v>26</c:v>
                </c:pt>
                <c:pt idx="301">
                  <c:v>26</c:v>
                </c:pt>
                <c:pt idx="302">
                  <c:v>26</c:v>
                </c:pt>
                <c:pt idx="303">
                  <c:v>26</c:v>
                </c:pt>
                <c:pt idx="304">
                  <c:v>26</c:v>
                </c:pt>
                <c:pt idx="305">
                  <c:v>26</c:v>
                </c:pt>
                <c:pt idx="306">
                  <c:v>26</c:v>
                </c:pt>
                <c:pt idx="307">
                  <c:v>26</c:v>
                </c:pt>
                <c:pt idx="308">
                  <c:v>26</c:v>
                </c:pt>
                <c:pt idx="309">
                  <c:v>26</c:v>
                </c:pt>
                <c:pt idx="310">
                  <c:v>26</c:v>
                </c:pt>
                <c:pt idx="311">
                  <c:v>26</c:v>
                </c:pt>
                <c:pt idx="312">
                  <c:v>27</c:v>
                </c:pt>
                <c:pt idx="313">
                  <c:v>27</c:v>
                </c:pt>
                <c:pt idx="314">
                  <c:v>27</c:v>
                </c:pt>
                <c:pt idx="315">
                  <c:v>27</c:v>
                </c:pt>
                <c:pt idx="316">
                  <c:v>27</c:v>
                </c:pt>
                <c:pt idx="317">
                  <c:v>27</c:v>
                </c:pt>
                <c:pt idx="318">
                  <c:v>27</c:v>
                </c:pt>
                <c:pt idx="319">
                  <c:v>27</c:v>
                </c:pt>
                <c:pt idx="320">
                  <c:v>27</c:v>
                </c:pt>
                <c:pt idx="321">
                  <c:v>27</c:v>
                </c:pt>
                <c:pt idx="322">
                  <c:v>27</c:v>
                </c:pt>
                <c:pt idx="323">
                  <c:v>27</c:v>
                </c:pt>
                <c:pt idx="324">
                  <c:v>28</c:v>
                </c:pt>
                <c:pt idx="325">
                  <c:v>28</c:v>
                </c:pt>
                <c:pt idx="326">
                  <c:v>28</c:v>
                </c:pt>
                <c:pt idx="327">
                  <c:v>28</c:v>
                </c:pt>
                <c:pt idx="328">
                  <c:v>28</c:v>
                </c:pt>
                <c:pt idx="329">
                  <c:v>28</c:v>
                </c:pt>
                <c:pt idx="330">
                  <c:v>28</c:v>
                </c:pt>
                <c:pt idx="331">
                  <c:v>28</c:v>
                </c:pt>
                <c:pt idx="332">
                  <c:v>28</c:v>
                </c:pt>
                <c:pt idx="333">
                  <c:v>28</c:v>
                </c:pt>
                <c:pt idx="334">
                  <c:v>28</c:v>
                </c:pt>
                <c:pt idx="335">
                  <c:v>28</c:v>
                </c:pt>
                <c:pt idx="336">
                  <c:v>29</c:v>
                </c:pt>
                <c:pt idx="337">
                  <c:v>29</c:v>
                </c:pt>
                <c:pt idx="338">
                  <c:v>29</c:v>
                </c:pt>
                <c:pt idx="339">
                  <c:v>29</c:v>
                </c:pt>
                <c:pt idx="340">
                  <c:v>29</c:v>
                </c:pt>
                <c:pt idx="341">
                  <c:v>29</c:v>
                </c:pt>
                <c:pt idx="342">
                  <c:v>29</c:v>
                </c:pt>
                <c:pt idx="343">
                  <c:v>29</c:v>
                </c:pt>
                <c:pt idx="344">
                  <c:v>29</c:v>
                </c:pt>
                <c:pt idx="345">
                  <c:v>29</c:v>
                </c:pt>
                <c:pt idx="346">
                  <c:v>29</c:v>
                </c:pt>
                <c:pt idx="347">
                  <c:v>29</c:v>
                </c:pt>
                <c:pt idx="348">
                  <c:v>30</c:v>
                </c:pt>
                <c:pt idx="349">
                  <c:v>30</c:v>
                </c:pt>
                <c:pt idx="350">
                  <c:v>30</c:v>
                </c:pt>
                <c:pt idx="351">
                  <c:v>30</c:v>
                </c:pt>
                <c:pt idx="352">
                  <c:v>30</c:v>
                </c:pt>
                <c:pt idx="353">
                  <c:v>30</c:v>
                </c:pt>
                <c:pt idx="354">
                  <c:v>30</c:v>
                </c:pt>
                <c:pt idx="355">
                  <c:v>30</c:v>
                </c:pt>
                <c:pt idx="356">
                  <c:v>30</c:v>
                </c:pt>
                <c:pt idx="357">
                  <c:v>30</c:v>
                </c:pt>
                <c:pt idx="358">
                  <c:v>30</c:v>
                </c:pt>
                <c:pt idx="359">
                  <c:v>30</c:v>
                </c:pt>
                <c:pt idx="360">
                  <c:v>31</c:v>
                </c:pt>
                <c:pt idx="361">
                  <c:v>31</c:v>
                </c:pt>
                <c:pt idx="362">
                  <c:v>31</c:v>
                </c:pt>
                <c:pt idx="363">
                  <c:v>31</c:v>
                </c:pt>
                <c:pt idx="364">
                  <c:v>31</c:v>
                </c:pt>
                <c:pt idx="365">
                  <c:v>31</c:v>
                </c:pt>
                <c:pt idx="366">
                  <c:v>31</c:v>
                </c:pt>
                <c:pt idx="367">
                  <c:v>31</c:v>
                </c:pt>
                <c:pt idx="368">
                  <c:v>31</c:v>
                </c:pt>
                <c:pt idx="369">
                  <c:v>31</c:v>
                </c:pt>
                <c:pt idx="370">
                  <c:v>31</c:v>
                </c:pt>
                <c:pt idx="371">
                  <c:v>31</c:v>
                </c:pt>
                <c:pt idx="372">
                  <c:v>32</c:v>
                </c:pt>
                <c:pt idx="373">
                  <c:v>32</c:v>
                </c:pt>
                <c:pt idx="374">
                  <c:v>32</c:v>
                </c:pt>
                <c:pt idx="375">
                  <c:v>32</c:v>
                </c:pt>
                <c:pt idx="376">
                  <c:v>32</c:v>
                </c:pt>
                <c:pt idx="377">
                  <c:v>32</c:v>
                </c:pt>
                <c:pt idx="378">
                  <c:v>32</c:v>
                </c:pt>
                <c:pt idx="379">
                  <c:v>32</c:v>
                </c:pt>
                <c:pt idx="380">
                  <c:v>32</c:v>
                </c:pt>
                <c:pt idx="381">
                  <c:v>32</c:v>
                </c:pt>
                <c:pt idx="382">
                  <c:v>32</c:v>
                </c:pt>
                <c:pt idx="383">
                  <c:v>32</c:v>
                </c:pt>
                <c:pt idx="384">
                  <c:v>33</c:v>
                </c:pt>
                <c:pt idx="385">
                  <c:v>33</c:v>
                </c:pt>
                <c:pt idx="386">
                  <c:v>33</c:v>
                </c:pt>
                <c:pt idx="387">
                  <c:v>33</c:v>
                </c:pt>
                <c:pt idx="388">
                  <c:v>33</c:v>
                </c:pt>
                <c:pt idx="389">
                  <c:v>33</c:v>
                </c:pt>
                <c:pt idx="390">
                  <c:v>33</c:v>
                </c:pt>
                <c:pt idx="391">
                  <c:v>33</c:v>
                </c:pt>
                <c:pt idx="392">
                  <c:v>33</c:v>
                </c:pt>
                <c:pt idx="393">
                  <c:v>33</c:v>
                </c:pt>
                <c:pt idx="394">
                  <c:v>33</c:v>
                </c:pt>
                <c:pt idx="395">
                  <c:v>33</c:v>
                </c:pt>
                <c:pt idx="396">
                  <c:v>34</c:v>
                </c:pt>
                <c:pt idx="397">
                  <c:v>34</c:v>
                </c:pt>
                <c:pt idx="398">
                  <c:v>34</c:v>
                </c:pt>
                <c:pt idx="399">
                  <c:v>34</c:v>
                </c:pt>
                <c:pt idx="400">
                  <c:v>34</c:v>
                </c:pt>
                <c:pt idx="401">
                  <c:v>34</c:v>
                </c:pt>
                <c:pt idx="402">
                  <c:v>34</c:v>
                </c:pt>
                <c:pt idx="403">
                  <c:v>34</c:v>
                </c:pt>
                <c:pt idx="404">
                  <c:v>34</c:v>
                </c:pt>
                <c:pt idx="405">
                  <c:v>34</c:v>
                </c:pt>
                <c:pt idx="406">
                  <c:v>34</c:v>
                </c:pt>
                <c:pt idx="407">
                  <c:v>34</c:v>
                </c:pt>
                <c:pt idx="408">
                  <c:v>35</c:v>
                </c:pt>
                <c:pt idx="409">
                  <c:v>35</c:v>
                </c:pt>
                <c:pt idx="410">
                  <c:v>35</c:v>
                </c:pt>
                <c:pt idx="411">
                  <c:v>35</c:v>
                </c:pt>
                <c:pt idx="412">
                  <c:v>35</c:v>
                </c:pt>
                <c:pt idx="413">
                  <c:v>35</c:v>
                </c:pt>
                <c:pt idx="414">
                  <c:v>35</c:v>
                </c:pt>
                <c:pt idx="415">
                  <c:v>35</c:v>
                </c:pt>
                <c:pt idx="416">
                  <c:v>35</c:v>
                </c:pt>
                <c:pt idx="417">
                  <c:v>35</c:v>
                </c:pt>
                <c:pt idx="418">
                  <c:v>35</c:v>
                </c:pt>
                <c:pt idx="419">
                  <c:v>35</c:v>
                </c:pt>
                <c:pt idx="420">
                  <c:v>36</c:v>
                </c:pt>
                <c:pt idx="421">
                  <c:v>36</c:v>
                </c:pt>
                <c:pt idx="422">
                  <c:v>36</c:v>
                </c:pt>
                <c:pt idx="423">
                  <c:v>36</c:v>
                </c:pt>
                <c:pt idx="424">
                  <c:v>36</c:v>
                </c:pt>
                <c:pt idx="425">
                  <c:v>36</c:v>
                </c:pt>
                <c:pt idx="426">
                  <c:v>36</c:v>
                </c:pt>
                <c:pt idx="427">
                  <c:v>36</c:v>
                </c:pt>
                <c:pt idx="428">
                  <c:v>36</c:v>
                </c:pt>
                <c:pt idx="429">
                  <c:v>36</c:v>
                </c:pt>
                <c:pt idx="430">
                  <c:v>36</c:v>
                </c:pt>
                <c:pt idx="431">
                  <c:v>36</c:v>
                </c:pt>
                <c:pt idx="432">
                  <c:v>37</c:v>
                </c:pt>
                <c:pt idx="433">
                  <c:v>37</c:v>
                </c:pt>
                <c:pt idx="434">
                  <c:v>37</c:v>
                </c:pt>
                <c:pt idx="435">
                  <c:v>37</c:v>
                </c:pt>
                <c:pt idx="436">
                  <c:v>37</c:v>
                </c:pt>
                <c:pt idx="437">
                  <c:v>37</c:v>
                </c:pt>
                <c:pt idx="438">
                  <c:v>37</c:v>
                </c:pt>
                <c:pt idx="439">
                  <c:v>37</c:v>
                </c:pt>
                <c:pt idx="440">
                  <c:v>37</c:v>
                </c:pt>
                <c:pt idx="441">
                  <c:v>37</c:v>
                </c:pt>
                <c:pt idx="442">
                  <c:v>37</c:v>
                </c:pt>
                <c:pt idx="443">
                  <c:v>37</c:v>
                </c:pt>
                <c:pt idx="444">
                  <c:v>38</c:v>
                </c:pt>
                <c:pt idx="445">
                  <c:v>38</c:v>
                </c:pt>
                <c:pt idx="446">
                  <c:v>38</c:v>
                </c:pt>
                <c:pt idx="447">
                  <c:v>38</c:v>
                </c:pt>
                <c:pt idx="448">
                  <c:v>38</c:v>
                </c:pt>
                <c:pt idx="449">
                  <c:v>38</c:v>
                </c:pt>
                <c:pt idx="450">
                  <c:v>38</c:v>
                </c:pt>
                <c:pt idx="451">
                  <c:v>38</c:v>
                </c:pt>
                <c:pt idx="452">
                  <c:v>38</c:v>
                </c:pt>
                <c:pt idx="453">
                  <c:v>38</c:v>
                </c:pt>
                <c:pt idx="454">
                  <c:v>38</c:v>
                </c:pt>
                <c:pt idx="455">
                  <c:v>38</c:v>
                </c:pt>
                <c:pt idx="456">
                  <c:v>39</c:v>
                </c:pt>
                <c:pt idx="457">
                  <c:v>39</c:v>
                </c:pt>
                <c:pt idx="458">
                  <c:v>39</c:v>
                </c:pt>
                <c:pt idx="459">
                  <c:v>39</c:v>
                </c:pt>
                <c:pt idx="460">
                  <c:v>39</c:v>
                </c:pt>
                <c:pt idx="461">
                  <c:v>39</c:v>
                </c:pt>
                <c:pt idx="462">
                  <c:v>39</c:v>
                </c:pt>
                <c:pt idx="463">
                  <c:v>39</c:v>
                </c:pt>
                <c:pt idx="464">
                  <c:v>39</c:v>
                </c:pt>
                <c:pt idx="465">
                  <c:v>39</c:v>
                </c:pt>
                <c:pt idx="466">
                  <c:v>39</c:v>
                </c:pt>
                <c:pt idx="467">
                  <c:v>39</c:v>
                </c:pt>
                <c:pt idx="468">
                  <c:v>40</c:v>
                </c:pt>
                <c:pt idx="469">
                  <c:v>40</c:v>
                </c:pt>
                <c:pt idx="470">
                  <c:v>40</c:v>
                </c:pt>
                <c:pt idx="471">
                  <c:v>40</c:v>
                </c:pt>
                <c:pt idx="472">
                  <c:v>40</c:v>
                </c:pt>
                <c:pt idx="473">
                  <c:v>40</c:v>
                </c:pt>
                <c:pt idx="474">
                  <c:v>40</c:v>
                </c:pt>
                <c:pt idx="475">
                  <c:v>40</c:v>
                </c:pt>
                <c:pt idx="476">
                  <c:v>40</c:v>
                </c:pt>
                <c:pt idx="477">
                  <c:v>40</c:v>
                </c:pt>
                <c:pt idx="478">
                  <c:v>40</c:v>
                </c:pt>
                <c:pt idx="479">
                  <c:v>40</c:v>
                </c:pt>
                <c:pt idx="480">
                  <c:v>41</c:v>
                </c:pt>
                <c:pt idx="481">
                  <c:v>41</c:v>
                </c:pt>
                <c:pt idx="482">
                  <c:v>41</c:v>
                </c:pt>
                <c:pt idx="483">
                  <c:v>41</c:v>
                </c:pt>
                <c:pt idx="484">
                  <c:v>41</c:v>
                </c:pt>
                <c:pt idx="485">
                  <c:v>41</c:v>
                </c:pt>
                <c:pt idx="486">
                  <c:v>41</c:v>
                </c:pt>
                <c:pt idx="487">
                  <c:v>41</c:v>
                </c:pt>
                <c:pt idx="488">
                  <c:v>41</c:v>
                </c:pt>
                <c:pt idx="489">
                  <c:v>41</c:v>
                </c:pt>
                <c:pt idx="490">
                  <c:v>41</c:v>
                </c:pt>
                <c:pt idx="491">
                  <c:v>41</c:v>
                </c:pt>
                <c:pt idx="492">
                  <c:v>42</c:v>
                </c:pt>
                <c:pt idx="493">
                  <c:v>42</c:v>
                </c:pt>
                <c:pt idx="494">
                  <c:v>42</c:v>
                </c:pt>
                <c:pt idx="495">
                  <c:v>42</c:v>
                </c:pt>
                <c:pt idx="496">
                  <c:v>42</c:v>
                </c:pt>
                <c:pt idx="497">
                  <c:v>42</c:v>
                </c:pt>
                <c:pt idx="498">
                  <c:v>42</c:v>
                </c:pt>
                <c:pt idx="499">
                  <c:v>42</c:v>
                </c:pt>
                <c:pt idx="500">
                  <c:v>42</c:v>
                </c:pt>
                <c:pt idx="501">
                  <c:v>42</c:v>
                </c:pt>
                <c:pt idx="502">
                  <c:v>42</c:v>
                </c:pt>
                <c:pt idx="503">
                  <c:v>42</c:v>
                </c:pt>
                <c:pt idx="504">
                  <c:v>43</c:v>
                </c:pt>
                <c:pt idx="505">
                  <c:v>43</c:v>
                </c:pt>
                <c:pt idx="506">
                  <c:v>43</c:v>
                </c:pt>
                <c:pt idx="507">
                  <c:v>43</c:v>
                </c:pt>
                <c:pt idx="508">
                  <c:v>43</c:v>
                </c:pt>
                <c:pt idx="509">
                  <c:v>43</c:v>
                </c:pt>
                <c:pt idx="510">
                  <c:v>43</c:v>
                </c:pt>
                <c:pt idx="511">
                  <c:v>43</c:v>
                </c:pt>
                <c:pt idx="512">
                  <c:v>43</c:v>
                </c:pt>
                <c:pt idx="513">
                  <c:v>43</c:v>
                </c:pt>
                <c:pt idx="514">
                  <c:v>43</c:v>
                </c:pt>
                <c:pt idx="515">
                  <c:v>43</c:v>
                </c:pt>
                <c:pt idx="516">
                  <c:v>44</c:v>
                </c:pt>
                <c:pt idx="517">
                  <c:v>44</c:v>
                </c:pt>
                <c:pt idx="518">
                  <c:v>44</c:v>
                </c:pt>
                <c:pt idx="519">
                  <c:v>44</c:v>
                </c:pt>
                <c:pt idx="520">
                  <c:v>44</c:v>
                </c:pt>
                <c:pt idx="521">
                  <c:v>44</c:v>
                </c:pt>
                <c:pt idx="522">
                  <c:v>44</c:v>
                </c:pt>
                <c:pt idx="523">
                  <c:v>44</c:v>
                </c:pt>
                <c:pt idx="524">
                  <c:v>44</c:v>
                </c:pt>
                <c:pt idx="525">
                  <c:v>44</c:v>
                </c:pt>
                <c:pt idx="526">
                  <c:v>44</c:v>
                </c:pt>
                <c:pt idx="527">
                  <c:v>44</c:v>
                </c:pt>
                <c:pt idx="528">
                  <c:v>45</c:v>
                </c:pt>
                <c:pt idx="529">
                  <c:v>45</c:v>
                </c:pt>
                <c:pt idx="530">
                  <c:v>45</c:v>
                </c:pt>
                <c:pt idx="531">
                  <c:v>45</c:v>
                </c:pt>
                <c:pt idx="532">
                  <c:v>45</c:v>
                </c:pt>
                <c:pt idx="533">
                  <c:v>45</c:v>
                </c:pt>
                <c:pt idx="534">
                  <c:v>45</c:v>
                </c:pt>
                <c:pt idx="535">
                  <c:v>45</c:v>
                </c:pt>
                <c:pt idx="536">
                  <c:v>45</c:v>
                </c:pt>
                <c:pt idx="537">
                  <c:v>45</c:v>
                </c:pt>
                <c:pt idx="538">
                  <c:v>45</c:v>
                </c:pt>
                <c:pt idx="539">
                  <c:v>45</c:v>
                </c:pt>
                <c:pt idx="540">
                  <c:v>46</c:v>
                </c:pt>
                <c:pt idx="541">
                  <c:v>46</c:v>
                </c:pt>
                <c:pt idx="542">
                  <c:v>46</c:v>
                </c:pt>
                <c:pt idx="543">
                  <c:v>46</c:v>
                </c:pt>
                <c:pt idx="544">
                  <c:v>46</c:v>
                </c:pt>
                <c:pt idx="545">
                  <c:v>46</c:v>
                </c:pt>
                <c:pt idx="546">
                  <c:v>46</c:v>
                </c:pt>
                <c:pt idx="547">
                  <c:v>46</c:v>
                </c:pt>
                <c:pt idx="548">
                  <c:v>46</c:v>
                </c:pt>
                <c:pt idx="549">
                  <c:v>46</c:v>
                </c:pt>
                <c:pt idx="550">
                  <c:v>46</c:v>
                </c:pt>
                <c:pt idx="551">
                  <c:v>46</c:v>
                </c:pt>
                <c:pt idx="552">
                  <c:v>47</c:v>
                </c:pt>
                <c:pt idx="553">
                  <c:v>47</c:v>
                </c:pt>
                <c:pt idx="554">
                  <c:v>47</c:v>
                </c:pt>
                <c:pt idx="555">
                  <c:v>47</c:v>
                </c:pt>
                <c:pt idx="556">
                  <c:v>47</c:v>
                </c:pt>
                <c:pt idx="557">
                  <c:v>47</c:v>
                </c:pt>
                <c:pt idx="558">
                  <c:v>47</c:v>
                </c:pt>
                <c:pt idx="559">
                  <c:v>47</c:v>
                </c:pt>
                <c:pt idx="560">
                  <c:v>47</c:v>
                </c:pt>
                <c:pt idx="561">
                  <c:v>47</c:v>
                </c:pt>
                <c:pt idx="562">
                  <c:v>47</c:v>
                </c:pt>
                <c:pt idx="563">
                  <c:v>47</c:v>
                </c:pt>
                <c:pt idx="564">
                  <c:v>48</c:v>
                </c:pt>
                <c:pt idx="565">
                  <c:v>48</c:v>
                </c:pt>
                <c:pt idx="566">
                  <c:v>48</c:v>
                </c:pt>
                <c:pt idx="567">
                  <c:v>48</c:v>
                </c:pt>
                <c:pt idx="568">
                  <c:v>48</c:v>
                </c:pt>
                <c:pt idx="569">
                  <c:v>48</c:v>
                </c:pt>
                <c:pt idx="570">
                  <c:v>48</c:v>
                </c:pt>
                <c:pt idx="571">
                  <c:v>48</c:v>
                </c:pt>
                <c:pt idx="572">
                  <c:v>48</c:v>
                </c:pt>
                <c:pt idx="573">
                  <c:v>48</c:v>
                </c:pt>
                <c:pt idx="574">
                  <c:v>48</c:v>
                </c:pt>
                <c:pt idx="575">
                  <c:v>48</c:v>
                </c:pt>
                <c:pt idx="576">
                  <c:v>49</c:v>
                </c:pt>
                <c:pt idx="577">
                  <c:v>49</c:v>
                </c:pt>
                <c:pt idx="578">
                  <c:v>49</c:v>
                </c:pt>
                <c:pt idx="579">
                  <c:v>49</c:v>
                </c:pt>
                <c:pt idx="580">
                  <c:v>49</c:v>
                </c:pt>
                <c:pt idx="581">
                  <c:v>49</c:v>
                </c:pt>
                <c:pt idx="582">
                  <c:v>49</c:v>
                </c:pt>
                <c:pt idx="583">
                  <c:v>49</c:v>
                </c:pt>
                <c:pt idx="584">
                  <c:v>49</c:v>
                </c:pt>
                <c:pt idx="585">
                  <c:v>49</c:v>
                </c:pt>
                <c:pt idx="586">
                  <c:v>49</c:v>
                </c:pt>
                <c:pt idx="587">
                  <c:v>49</c:v>
                </c:pt>
                <c:pt idx="588">
                  <c:v>50</c:v>
                </c:pt>
                <c:pt idx="589">
                  <c:v>50</c:v>
                </c:pt>
                <c:pt idx="590">
                  <c:v>50</c:v>
                </c:pt>
                <c:pt idx="591">
                  <c:v>50</c:v>
                </c:pt>
                <c:pt idx="592">
                  <c:v>50</c:v>
                </c:pt>
                <c:pt idx="593">
                  <c:v>50</c:v>
                </c:pt>
                <c:pt idx="594">
                  <c:v>50</c:v>
                </c:pt>
                <c:pt idx="595">
                  <c:v>50</c:v>
                </c:pt>
                <c:pt idx="596">
                  <c:v>50</c:v>
                </c:pt>
                <c:pt idx="597">
                  <c:v>50</c:v>
                </c:pt>
                <c:pt idx="598">
                  <c:v>50</c:v>
                </c:pt>
                <c:pt idx="599">
                  <c:v>50</c:v>
                </c:pt>
                <c:pt idx="600">
                  <c:v>51</c:v>
                </c:pt>
                <c:pt idx="601">
                  <c:v>51</c:v>
                </c:pt>
                <c:pt idx="602">
                  <c:v>51</c:v>
                </c:pt>
                <c:pt idx="603">
                  <c:v>51</c:v>
                </c:pt>
                <c:pt idx="604">
                  <c:v>51</c:v>
                </c:pt>
                <c:pt idx="605">
                  <c:v>51</c:v>
                </c:pt>
                <c:pt idx="606">
                  <c:v>51</c:v>
                </c:pt>
                <c:pt idx="607">
                  <c:v>51</c:v>
                </c:pt>
                <c:pt idx="608">
                  <c:v>51</c:v>
                </c:pt>
                <c:pt idx="609">
                  <c:v>51</c:v>
                </c:pt>
                <c:pt idx="610">
                  <c:v>51</c:v>
                </c:pt>
                <c:pt idx="611">
                  <c:v>51</c:v>
                </c:pt>
                <c:pt idx="612">
                  <c:v>52</c:v>
                </c:pt>
                <c:pt idx="613">
                  <c:v>52</c:v>
                </c:pt>
                <c:pt idx="614">
                  <c:v>52</c:v>
                </c:pt>
                <c:pt idx="615">
                  <c:v>52</c:v>
                </c:pt>
                <c:pt idx="616">
                  <c:v>52</c:v>
                </c:pt>
                <c:pt idx="617">
                  <c:v>52</c:v>
                </c:pt>
                <c:pt idx="618">
                  <c:v>52</c:v>
                </c:pt>
                <c:pt idx="619">
                  <c:v>52</c:v>
                </c:pt>
                <c:pt idx="620">
                  <c:v>52</c:v>
                </c:pt>
                <c:pt idx="621">
                  <c:v>52</c:v>
                </c:pt>
                <c:pt idx="622">
                  <c:v>52</c:v>
                </c:pt>
                <c:pt idx="623">
                  <c:v>52</c:v>
                </c:pt>
                <c:pt idx="624">
                  <c:v>53</c:v>
                </c:pt>
                <c:pt idx="625">
                  <c:v>53</c:v>
                </c:pt>
                <c:pt idx="626">
                  <c:v>53</c:v>
                </c:pt>
                <c:pt idx="627">
                  <c:v>53</c:v>
                </c:pt>
                <c:pt idx="628">
                  <c:v>53</c:v>
                </c:pt>
                <c:pt idx="629">
                  <c:v>53</c:v>
                </c:pt>
                <c:pt idx="630">
                  <c:v>53</c:v>
                </c:pt>
                <c:pt idx="631">
                  <c:v>53</c:v>
                </c:pt>
                <c:pt idx="632">
                  <c:v>53</c:v>
                </c:pt>
                <c:pt idx="633">
                  <c:v>53</c:v>
                </c:pt>
                <c:pt idx="634">
                  <c:v>53</c:v>
                </c:pt>
                <c:pt idx="635">
                  <c:v>53</c:v>
                </c:pt>
                <c:pt idx="636">
                  <c:v>54</c:v>
                </c:pt>
                <c:pt idx="637">
                  <c:v>54</c:v>
                </c:pt>
                <c:pt idx="638">
                  <c:v>54</c:v>
                </c:pt>
                <c:pt idx="639">
                  <c:v>54</c:v>
                </c:pt>
                <c:pt idx="640">
                  <c:v>54</c:v>
                </c:pt>
                <c:pt idx="641">
                  <c:v>54</c:v>
                </c:pt>
                <c:pt idx="642">
                  <c:v>54</c:v>
                </c:pt>
                <c:pt idx="643">
                  <c:v>54</c:v>
                </c:pt>
                <c:pt idx="644">
                  <c:v>54</c:v>
                </c:pt>
                <c:pt idx="645">
                  <c:v>54</c:v>
                </c:pt>
                <c:pt idx="646">
                  <c:v>54</c:v>
                </c:pt>
                <c:pt idx="647">
                  <c:v>54</c:v>
                </c:pt>
                <c:pt idx="648">
                  <c:v>55</c:v>
                </c:pt>
                <c:pt idx="649">
                  <c:v>55</c:v>
                </c:pt>
                <c:pt idx="650">
                  <c:v>55</c:v>
                </c:pt>
                <c:pt idx="651">
                  <c:v>55</c:v>
                </c:pt>
                <c:pt idx="652">
                  <c:v>55</c:v>
                </c:pt>
                <c:pt idx="653">
                  <c:v>55</c:v>
                </c:pt>
                <c:pt idx="654">
                  <c:v>55</c:v>
                </c:pt>
                <c:pt idx="655">
                  <c:v>55</c:v>
                </c:pt>
                <c:pt idx="656">
                  <c:v>55</c:v>
                </c:pt>
                <c:pt idx="657">
                  <c:v>55</c:v>
                </c:pt>
                <c:pt idx="658">
                  <c:v>55</c:v>
                </c:pt>
                <c:pt idx="659">
                  <c:v>55</c:v>
                </c:pt>
                <c:pt idx="660">
                  <c:v>56</c:v>
                </c:pt>
              </c:numCache>
            </c:numRef>
          </c:cat>
          <c:val>
            <c:numRef>
              <c:f>'Data Model Calculations'!$R$3:$R$362</c:f>
              <c:numCache>
                <c:formatCode>0.00</c:formatCode>
                <c:ptCount val="360"/>
                <c:pt idx="0">
                  <c:v>74.693979151180557</c:v>
                </c:pt>
                <c:pt idx="1">
                  <c:v>74.396556976631871</c:v>
                </c:pt>
                <c:pt idx="2">
                  <c:v>74.10737608484726</c:v>
                </c:pt>
                <c:pt idx="3">
                  <c:v>73.826098619618548</c:v>
                </c:pt>
                <c:pt idx="4">
                  <c:v>73.55240494326172</c:v>
                </c:pt>
                <c:pt idx="5">
                  <c:v>73.285992424934307</c:v>
                </c:pt>
                <c:pt idx="6">
                  <c:v>73.026574324387539</c:v>
                </c:pt>
                <c:pt idx="7">
                  <c:v>72.773878762497645</c:v>
                </c:pt>
                <c:pt idx="8">
                  <c:v>72.52764777080607</c:v>
                </c:pt>
                <c:pt idx="9">
                  <c:v>72.287636413083661</c:v>
                </c:pt>
                <c:pt idx="10">
                  <c:v>72.053611972630833</c:v>
                </c:pt>
                <c:pt idx="11">
                  <c:v>71.825353199645249</c:v>
                </c:pt>
                <c:pt idx="12">
                  <c:v>71.602649613540422</c:v>
                </c:pt>
                <c:pt idx="13">
                  <c:v>71.385300855590842</c:v>
                </c:pt>
                <c:pt idx="14">
                  <c:v>71.173116087718668</c:v>
                </c:pt>
                <c:pt idx="15">
                  <c:v>70.96591343362995</c:v>
                </c:pt>
                <c:pt idx="16">
                  <c:v>70.763519458860571</c:v>
                </c:pt>
                <c:pt idx="17">
                  <c:v>70.565768686607612</c:v>
                </c:pt>
                <c:pt idx="18">
                  <c:v>70.372503146505352</c:v>
                </c:pt>
                <c:pt idx="19">
                  <c:v>70.183571953759966</c:v>
                </c:pt>
                <c:pt idx="20">
                  <c:v>69.998830916286238</c:v>
                </c:pt>
                <c:pt idx="21">
                  <c:v>69.818142167696749</c:v>
                </c:pt>
                <c:pt idx="22">
                  <c:v>69.641373824180064</c:v>
                </c:pt>
                <c:pt idx="23">
                  <c:v>69.468399663473448</c:v>
                </c:pt>
                <c:pt idx="24">
                  <c:v>69.299098824287682</c:v>
                </c:pt>
                <c:pt idx="25">
                  <c:v>69.133355524680226</c:v>
                </c:pt>
                <c:pt idx="26">
                  <c:v>68.971058797997046</c:v>
                </c:pt>
                <c:pt idx="27">
                  <c:v>68.812102245118183</c:v>
                </c:pt>
                <c:pt idx="28">
                  <c:v>68.656383801844186</c:v>
                </c:pt>
                <c:pt idx="29">
                  <c:v>68.50380552035503</c:v>
                </c:pt>
                <c:pt idx="30">
                  <c:v>68.354273363758139</c:v>
                </c:pt>
                <c:pt idx="31">
                  <c:v>68.207697012819864</c:v>
                </c:pt>
                <c:pt idx="32">
                  <c:v>68.063989684045865</c:v>
                </c:pt>
                <c:pt idx="33">
                  <c:v>67.923067958340397</c:v>
                </c:pt>
                <c:pt idx="34">
                  <c:v>67.784851619533711</c:v>
                </c:pt>
                <c:pt idx="35">
                  <c:v>67.649263502120789</c:v>
                </c:pt>
                <c:pt idx="36">
                  <c:v>67.516229347604053</c:v>
                </c:pt>
                <c:pt idx="37">
                  <c:v>67.385677668878401</c:v>
                </c:pt>
                <c:pt idx="38">
                  <c:v>67.257539622137699</c:v>
                </c:pt>
                <c:pt idx="39">
                  <c:v>67.130586079844278</c:v>
                </c:pt>
                <c:pt idx="40">
                  <c:v>67.004806092472833</c:v>
                </c:pt>
                <c:pt idx="41">
                  <c:v>66.880188811715186</c:v>
                </c:pt>
                <c:pt idx="42">
                  <c:v>66.756723489544555</c:v>
                </c:pt>
                <c:pt idx="43">
                  <c:v>66.634399477288639</c:v>
                </c:pt>
                <c:pt idx="44">
                  <c:v>66.513206224711155</c:v>
                </c:pt>
                <c:pt idx="45">
                  <c:v>66.393133279101903</c:v>
                </c:pt>
                <c:pt idx="46">
                  <c:v>66.274170284375231</c:v>
                </c:pt>
                <c:pt idx="47">
                  <c:v>66.156306980176893</c:v>
                </c:pt>
                <c:pt idx="48">
                  <c:v>66.039533200998974</c:v>
                </c:pt>
                <c:pt idx="49">
                  <c:v>65.923838875303332</c:v>
                </c:pt>
                <c:pt idx="50">
                  <c:v>65.809214024652732</c:v>
                </c:pt>
                <c:pt idx="51">
                  <c:v>65.695648762850425</c:v>
                </c:pt>
                <c:pt idx="52">
                  <c:v>65.583133295087322</c:v>
                </c:pt>
                <c:pt idx="53">
                  <c:v>65.471657917097247</c:v>
                </c:pt>
                <c:pt idx="54">
                  <c:v>65.361213014320057</c:v>
                </c:pt>
                <c:pt idx="55">
                  <c:v>65.251789061072273</c:v>
                </c:pt>
                <c:pt idx="56">
                  <c:v>65.143376619725601</c:v>
                </c:pt>
                <c:pt idx="57">
                  <c:v>65.035966339892894</c:v>
                </c:pt>
                <c:pt idx="58">
                  <c:v>64.929548957621691</c:v>
                </c:pt>
                <c:pt idx="59">
                  <c:v>64.824115294595273</c:v>
                </c:pt>
                <c:pt idx="60">
                  <c:v>64.719656257341043</c:v>
                </c:pt>
                <c:pt idx="61">
                  <c:v>64.616162836446136</c:v>
                </c:pt>
                <c:pt idx="62">
                  <c:v>64.513626105780517</c:v>
                </c:pt>
                <c:pt idx="63">
                  <c:v>64.412037221726976</c:v>
                </c:pt>
                <c:pt idx="64">
                  <c:v>64.31138742241852</c:v>
                </c:pt>
                <c:pt idx="65">
                  <c:v>64.211668026982537</c:v>
                </c:pt>
                <c:pt idx="66">
                  <c:v>64.1128704347922</c:v>
                </c:pt>
                <c:pt idx="67">
                  <c:v>64.014986124724601</c:v>
                </c:pt>
                <c:pt idx="68">
                  <c:v>63.918006654425852</c:v>
                </c:pt>
                <c:pt idx="69">
                  <c:v>63.821923659582957</c:v>
                </c:pt>
                <c:pt idx="70">
                  <c:v>63.726728853202395</c:v>
                </c:pt>
                <c:pt idx="71">
                  <c:v>63.632414024895361</c:v>
                </c:pt>
                <c:pt idx="72">
                  <c:v>63.538971040169677</c:v>
                </c:pt>
                <c:pt idx="73">
                  <c:v>63.446391839728136</c:v>
                </c:pt>
                <c:pt idx="74">
                  <c:v>63.354668438773452</c:v>
                </c:pt>
                <c:pt idx="75">
                  <c:v>63.26379292631961</c:v>
                </c:pt>
                <c:pt idx="76">
                  <c:v>63.173757464509507</c:v>
                </c:pt>
                <c:pt idx="77">
                  <c:v>63.084554287938957</c:v>
                </c:pt>
                <c:pt idx="78">
                  <c:v>62.996175702986953</c:v>
                </c:pt>
                <c:pt idx="79">
                  <c:v>62.90861408715211</c:v>
                </c:pt>
                <c:pt idx="80">
                  <c:v>62.821861888395233</c:v>
                </c:pt>
                <c:pt idx="81">
                  <c:v>62.735911624487947</c:v>
                </c:pt>
                <c:pt idx="82">
                  <c:v>62.650755882367392</c:v>
                </c:pt>
                <c:pt idx="83">
                  <c:v>62.566387317496826</c:v>
                </c:pt>
                <c:pt idx="84">
                  <c:v>62.482798653232223</c:v>
                </c:pt>
                <c:pt idx="85">
                  <c:v>62.399982680194654</c:v>
                </c:pt>
                <c:pt idx="86">
                  <c:v>62.317932255648458</c:v>
                </c:pt>
                <c:pt idx="87">
                  <c:v>62.236640302885228</c:v>
                </c:pt>
                <c:pt idx="88">
                  <c:v>62.156099810613441</c:v>
                </c:pt>
                <c:pt idx="89">
                  <c:v>62.076303832353773</c:v>
                </c:pt>
                <c:pt idx="90">
                  <c:v>61.997245485839933</c:v>
                </c:pt>
                <c:pt idx="91">
                  <c:v>61.918917952425119</c:v>
                </c:pt>
                <c:pt idx="92">
                  <c:v>61.841314476493878</c:v>
                </c:pt>
                <c:pt idx="93">
                  <c:v>61.764428364879521</c:v>
                </c:pt>
                <c:pt idx="94">
                  <c:v>61.68825298628677</c:v>
                </c:pt>
                <c:pt idx="95">
                  <c:v>61.612781770719842</c:v>
                </c:pt>
                <c:pt idx="96">
                  <c:v>61.538008208915826</c:v>
                </c:pt>
                <c:pt idx="97">
                  <c:v>61.463925851783252</c:v>
                </c:pt>
                <c:pt idx="98">
                  <c:v>61.390528309845863</c:v>
                </c:pt>
                <c:pt idx="99">
                  <c:v>61.317809252691553</c:v>
                </c:pt>
                <c:pt idx="100">
                  <c:v>61.245762408426316</c:v>
                </c:pt>
                <c:pt idx="101">
                  <c:v>61.174381563133423</c:v>
                </c:pt>
                <c:pt idx="102">
                  <c:v>61.103660560337346</c:v>
                </c:pt>
                <c:pt idx="103">
                  <c:v>61.033593300472887</c:v>
                </c:pt>
                <c:pt idx="104">
                  <c:v>60.964173740359051</c:v>
                </c:pt>
                <c:pt idx="105">
                  <c:v>60.895395892677833</c:v>
                </c:pt>
                <c:pt idx="106">
                  <c:v>60.827253825457809</c:v>
                </c:pt>
                <c:pt idx="107">
                  <c:v>60.759741661562529</c:v>
                </c:pt>
                <c:pt idx="108">
                  <c:v>60.692853578183652</c:v>
                </c:pt>
                <c:pt idx="109">
                  <c:v>60.626583806338701</c:v>
                </c:pt>
                <c:pt idx="110">
                  <c:v>60.560926630373487</c:v>
                </c:pt>
                <c:pt idx="111">
                  <c:v>60.495876387469188</c:v>
                </c:pt>
                <c:pt idx="112">
                  <c:v>60.431427467153895</c:v>
                </c:pt>
                <c:pt idx="113">
                  <c:v>60.367574310818775</c:v>
                </c:pt>
                <c:pt idx="114">
                  <c:v>60.304311411238565</c:v>
                </c:pt>
                <c:pt idx="115">
                  <c:v>60.24163331209671</c:v>
                </c:pt>
                <c:pt idx="116">
                  <c:v>60.179534607514611</c:v>
                </c:pt>
                <c:pt idx="117">
                  <c:v>60.118009941585505</c:v>
                </c:pt>
                <c:pt idx="118">
                  <c:v>60.057054007912477</c:v>
                </c:pt>
                <c:pt idx="119">
                  <c:v>59.99666154915078</c:v>
                </c:pt>
                <c:pt idx="120">
                  <c:v>59.936827356554389</c:v>
                </c:pt>
                <c:pt idx="121">
                  <c:v>59.877546269526825</c:v>
                </c:pt>
                <c:pt idx="122">
                  <c:v>59.818813175175997</c:v>
                </c:pt>
                <c:pt idx="123">
                  <c:v>59.760623007873221</c:v>
                </c:pt>
                <c:pt idx="124">
                  <c:v>59.702970748816377</c:v>
                </c:pt>
                <c:pt idx="125">
                  <c:v>59.645851425596987</c:v>
                </c:pt>
                <c:pt idx="126">
                  <c:v>59.589260111771381</c:v>
                </c:pt>
                <c:pt idx="127">
                  <c:v>59.533191926435791</c:v>
                </c:pt>
                <c:pt idx="128">
                  <c:v>59.477642033805374</c:v>
                </c:pt>
                <c:pt idx="129">
                  <c:v>59.422605642797151</c:v>
                </c:pt>
                <c:pt idx="130">
                  <c:v>59.368078006616798</c:v>
                </c:pt>
                <c:pt idx="131">
                  <c:v>59.314054422349187</c:v>
                </c:pt>
                <c:pt idx="132">
                  <c:v>59.260530230552845</c:v>
                </c:pt>
                <c:pt idx="133">
                  <c:v>59.207500814857994</c:v>
                </c:pt>
                <c:pt idx="134">
                  <c:v>59.15496160156848</c:v>
                </c:pt>
                <c:pt idx="135">
                  <c:v>59.102908059267271</c:v>
                </c:pt>
                <c:pt idx="136">
                  <c:v>59.051335698425582</c:v>
                </c:pt>
                <c:pt idx="137">
                  <c:v>59.000240071015753</c:v>
                </c:pt>
                <c:pt idx="138">
                  <c:v>58.949616770127541</c:v>
                </c:pt>
                <c:pt idx="139">
                  <c:v>58.899461429588065</c:v>
                </c:pt>
                <c:pt idx="140">
                  <c:v>58.849769723585219</c:v>
                </c:pt>
                <c:pt idx="141">
                  <c:v>58.80053736629457</c:v>
                </c:pt>
                <c:pt idx="142">
                  <c:v>58.751760111509732</c:v>
                </c:pt>
                <c:pt idx="143">
                  <c:v>58.703433752276133</c:v>
                </c:pt>
                <c:pt idx="144">
                  <c:v>58.655554120528137</c:v>
                </c:pt>
                <c:pt idx="145">
                  <c:v>58.608117086729649</c:v>
                </c:pt>
                <c:pt idx="146">
                  <c:v>58.561118559517858</c:v>
                </c:pt>
                <c:pt idx="147">
                  <c:v>58.514554485350367</c:v>
                </c:pt>
                <c:pt idx="148">
                  <c:v>58.468420848155638</c:v>
                </c:pt>
                <c:pt idx="149">
                  <c:v>58.422713668986596</c:v>
                </c:pt>
                <c:pt idx="150">
                  <c:v>58.377429005677399</c:v>
                </c:pt>
                <c:pt idx="151">
                  <c:v>58.332562952503501</c:v>
                </c:pt>
                <c:pt idx="152">
                  <c:v>58.288111639844772</c:v>
                </c:pt>
                <c:pt idx="153">
                  <c:v>58.244071233851706</c:v>
                </c:pt>
                <c:pt idx="154">
                  <c:v>58.200437936114831</c:v>
                </c:pt>
                <c:pt idx="155">
                  <c:v>58.157207983337024</c:v>
                </c:pt>
                <c:pt idx="156">
                  <c:v>58.114377647009015</c:v>
                </c:pt>
                <c:pt idx="157">
                  <c:v>58.071943233087737</c:v>
                </c:pt>
                <c:pt idx="158">
                  <c:v>58.029901081677764</c:v>
                </c:pt>
                <c:pt idx="159">
                  <c:v>57.988247566715636</c:v>
                </c:pt>
                <c:pt idx="160">
                  <c:v>57.94697909565712</c:v>
                </c:pt>
                <c:pt idx="161">
                  <c:v>57.906092109167353</c:v>
                </c:pt>
                <c:pt idx="162">
                  <c:v>57.865583080813863</c:v>
                </c:pt>
                <c:pt idx="163">
                  <c:v>57.825448516762435</c:v>
                </c:pt>
                <c:pt idx="164">
                  <c:v>57.785684955475752</c:v>
                </c:pt>
                <c:pt idx="165">
                  <c:v>57.746288967414841</c:v>
                </c:pt>
                <c:pt idx="166">
                  <c:v>57.707257154743282</c:v>
                </c:pt>
                <c:pt idx="167">
                  <c:v>57.66858615103417</c:v>
                </c:pt>
                <c:pt idx="168">
                  <c:v>57.63027262097976</c:v>
                </c:pt>
                <c:pt idx="169">
                  <c:v>57.592313260103801</c:v>
                </c:pt>
                <c:pt idx="170">
                  <c:v>57.554704794476493</c:v>
                </c:pt>
                <c:pt idx="171">
                  <c:v>57.517443980432176</c:v>
                </c:pt>
                <c:pt idx="172">
                  <c:v>57.480527604289541</c:v>
                </c:pt>
                <c:pt idx="173">
                  <c:v>57.443952482074465</c:v>
                </c:pt>
                <c:pt idx="174">
                  <c:v>57.407715459245367</c:v>
                </c:pt>
                <c:pt idx="175">
                  <c:v>57.371813410421183</c:v>
                </c:pt>
                <c:pt idx="176">
                  <c:v>57.336243239111759</c:v>
                </c:pt>
                <c:pt idx="177">
                  <c:v>57.30100187745083</c:v>
                </c:pt>
                <c:pt idx="178">
                  <c:v>57.266086285931365</c:v>
                </c:pt>
                <c:pt idx="179">
                  <c:v>57.231493453143507</c:v>
                </c:pt>
                <c:pt idx="180">
                  <c:v>57.197220395514719</c:v>
                </c:pt>
                <c:pt idx="181">
                  <c:v>57.163264157052581</c:v>
                </c:pt>
                <c:pt idx="182">
                  <c:v>57.129621809089763</c:v>
                </c:pt>
                <c:pt idx="183">
                  <c:v>57.096290450031411</c:v>
                </c:pt>
                <c:pt idx="184">
                  <c:v>57.063267205104999</c:v>
                </c:pt>
                <c:pt idx="185">
                  <c:v>57.030549226112278</c:v>
                </c:pt>
                <c:pt idx="186">
                  <c:v>56.998133691183675</c:v>
                </c:pt>
                <c:pt idx="187">
                  <c:v>56.966017804534879</c:v>
                </c:pt>
                <c:pt idx="188">
                  <c:v>56.934198796225743</c:v>
                </c:pt>
                <c:pt idx="189">
                  <c:v>56.90267392192137</c:v>
                </c:pt>
                <c:pt idx="190">
                  <c:v>56.871440462655407</c:v>
                </c:pt>
                <c:pt idx="191">
                  <c:v>56.84049572459557</c:v>
                </c:pt>
                <c:pt idx="192">
                  <c:v>56.809837038811274</c:v>
                </c:pt>
                <c:pt idx="193">
                  <c:v>56.779461761043429</c:v>
                </c:pt>
                <c:pt idx="194">
                  <c:v>56.749367271476409</c:v>
                </c:pt>
                <c:pt idx="195">
                  <c:v>56.719550974512131</c:v>
                </c:pt>
                <c:pt idx="196">
                  <c:v>56.690010298546099</c:v>
                </c:pt>
                <c:pt idx="197">
                  <c:v>56.660742695745661</c:v>
                </c:pt>
                <c:pt idx="198">
                  <c:v>56.631745641830292</c:v>
                </c:pt>
                <c:pt idx="199">
                  <c:v>56.603016635853805</c:v>
                </c:pt>
                <c:pt idx="200">
                  <c:v>56.574553199988699</c:v>
                </c:pt>
                <c:pt idx="201">
                  <c:v>56.546352879312437</c:v>
                </c:pt>
                <c:pt idx="202">
                  <c:v>56.518413241595738</c:v>
                </c:pt>
                <c:pt idx="203">
                  <c:v>56.490731877092763</c:v>
                </c:pt>
                <c:pt idx="204">
                  <c:v>56.463306398333273</c:v>
                </c:pt>
                <c:pt idx="205">
                  <c:v>56.436134439916771</c:v>
                </c:pt>
                <c:pt idx="206">
                  <c:v>56.40921365830846</c:v>
                </c:pt>
                <c:pt idx="207">
                  <c:v>56.382541731637055</c:v>
                </c:pt>
                <c:pt idx="208">
                  <c:v>56.356116359494656</c:v>
                </c:pt>
                <c:pt idx="209">
                  <c:v>56.329935262738211</c:v>
                </c:pt>
                <c:pt idx="210">
                  <c:v>56.303996183293023</c:v>
                </c:pt>
                <c:pt idx="211">
                  <c:v>56.278296883957992</c:v>
                </c:pt>
                <c:pt idx="212">
                  <c:v>56.252835148212604</c:v>
                </c:pt>
                <c:pt idx="213">
                  <c:v>56.227608780025825</c:v>
                </c:pt>
                <c:pt idx="214">
                  <c:v>56.202615603666658</c:v>
                </c:pt>
                <c:pt idx="215">
                  <c:v>56.177853463516513</c:v>
                </c:pt>
                <c:pt idx="216">
                  <c:v>56.153320223883242</c:v>
                </c:pt>
                <c:pt idx="217">
                  <c:v>56.129013768817025</c:v>
                </c:pt>
                <c:pt idx="218">
                  <c:v>56.104932001927793</c:v>
                </c:pt>
                <c:pt idx="219">
                  <c:v>56.081072846204449</c:v>
                </c:pt>
                <c:pt idx="220">
                  <c:v>56.057434243835715</c:v>
                </c:pt>
                <c:pt idx="221">
                  <c:v>56.034014156032676</c:v>
                </c:pt>
                <c:pt idx="222">
                  <c:v>56.010810562852946</c:v>
                </c:pt>
                <c:pt idx="223">
                  <c:v>55.987821463026386</c:v>
                </c:pt>
                <c:pt idx="224">
                  <c:v>55.965044873782553</c:v>
                </c:pt>
                <c:pt idx="225">
                  <c:v>55.942478830679697</c:v>
                </c:pt>
                <c:pt idx="226">
                  <c:v>55.920121387435309</c:v>
                </c:pt>
                <c:pt idx="227">
                  <c:v>55.897970615758233</c:v>
                </c:pt>
                <c:pt idx="228">
                  <c:v>55.876024605182408</c:v>
                </c:pt>
                <c:pt idx="229">
                  <c:v>55.854281462902058</c:v>
                </c:pt>
                <c:pt idx="230">
                  <c:v>55.832739313608421</c:v>
                </c:pt>
                <c:pt idx="231">
                  <c:v>55.811396299328109</c:v>
                </c:pt>
                <c:pt idx="232">
                  <c:v>55.790250579262725</c:v>
                </c:pt>
                <c:pt idx="233">
                  <c:v>55.769300329630155</c:v>
                </c:pt>
                <c:pt idx="234">
                  <c:v>55.748543743507334</c:v>
                </c:pt>
                <c:pt idx="235">
                  <c:v>55.727979030674263</c:v>
                </c:pt>
                <c:pt idx="236">
                  <c:v>55.707604417459777</c:v>
                </c:pt>
                <c:pt idx="237">
                  <c:v>55.687418146588378</c:v>
                </c:pt>
                <c:pt idx="238">
                  <c:v>55.667418477028853</c:v>
                </c:pt>
                <c:pt idx="239">
                  <c:v>55.647603683843975</c:v>
                </c:pt>
                <c:pt idx="240">
                  <c:v>55.627972058041841</c:v>
                </c:pt>
                <c:pt idx="241">
                  <c:v>55.608521906428372</c:v>
                </c:pt>
                <c:pt idx="242">
                  <c:v>55.589251551461352</c:v>
                </c:pt>
                <c:pt idx="243">
                  <c:v>55.570159331105707</c:v>
                </c:pt>
                <c:pt idx="244">
                  <c:v>55.551243598690192</c:v>
                </c:pt>
                <c:pt idx="245">
                  <c:v>55.532502722765294</c:v>
                </c:pt>
                <c:pt idx="246">
                  <c:v>55.513935086962626</c:v>
                </c:pt>
                <c:pt idx="247">
                  <c:v>55.495539089855455</c:v>
                </c:pt>
                <c:pt idx="248">
                  <c:v>55.477313144820542</c:v>
                </c:pt>
                <c:pt idx="249">
                  <c:v>55.45925567990141</c:v>
                </c:pt>
                <c:pt idx="250">
                  <c:v>55.441365137672669</c:v>
                </c:pt>
                <c:pt idx="251">
                  <c:v>55.423639975105736</c:v>
                </c:pt>
                <c:pt idx="252">
                  <c:v>55.406078663435736</c:v>
                </c:pt>
                <c:pt idx="253">
                  <c:v>55.388679688029647</c:v>
                </c:pt>
                <c:pt idx="254">
                  <c:v>55.371441548255689</c:v>
                </c:pt>
                <c:pt idx="255">
                  <c:v>55.354362757353861</c:v>
                </c:pt>
                <c:pt idx="256">
                  <c:v>55.337441842307733</c:v>
                </c:pt>
                <c:pt idx="257">
                  <c:v>55.320677343717414</c:v>
                </c:pt>
                <c:pt idx="258">
                  <c:v>55.304067815673648</c:v>
                </c:pt>
                <c:pt idx="259">
                  <c:v>55.287611825633107</c:v>
                </c:pt>
                <c:pt idx="260">
                  <c:v>55.271307954294883</c:v>
                </c:pt>
                <c:pt idx="261">
                  <c:v>55.255154795478035</c:v>
                </c:pt>
                <c:pt idx="262">
                  <c:v>55.239150956000302</c:v>
                </c:pt>
                <c:pt idx="263">
                  <c:v>55.223295055557998</c:v>
                </c:pt>
                <c:pt idx="264">
                  <c:v>55.207585726606894</c:v>
                </c:pt>
                <c:pt idx="265">
                  <c:v>55.19202161424429</c:v>
                </c:pt>
                <c:pt idx="266">
                  <c:v>55.176601376092208</c:v>
                </c:pt>
                <c:pt idx="267">
                  <c:v>55.161323682181546</c:v>
                </c:pt>
                <c:pt idx="268">
                  <c:v>55.146187214837397</c:v>
                </c:pt>
                <c:pt idx="269">
                  <c:v>55.131190668565438</c:v>
                </c:pt>
                <c:pt idx="270">
                  <c:v>55.116332749939232</c:v>
                </c:pt>
                <c:pt idx="271">
                  <c:v>55.101612177488782</c:v>
                </c:pt>
                <c:pt idx="272">
                  <c:v>55.087027681589973</c:v>
                </c:pt>
                <c:pt idx="273">
                  <c:v>55.072578004355044</c:v>
                </c:pt>
                <c:pt idx="274">
                  <c:v>55.058261899524119</c:v>
                </c:pt>
                <c:pt idx="275">
                  <c:v>55.044078132357697</c:v>
                </c:pt>
                <c:pt idx="276">
                  <c:v>55.030025479530188</c:v>
                </c:pt>
                <c:pt idx="277">
                  <c:v>55.016102729024382</c:v>
                </c:pt>
                <c:pt idx="278">
                  <c:v>55.002308680026935</c:v>
                </c:pt>
                <c:pt idx="279">
                  <c:v>54.988642142824773</c:v>
                </c:pt>
                <c:pt idx="280">
                  <c:v>54.97510193870248</c:v>
                </c:pt>
                <c:pt idx="281">
                  <c:v>54.961686899840693</c:v>
                </c:pt>
                <c:pt idx="282">
                  <c:v>54.948395869215304</c:v>
                </c:pt>
                <c:pt idx="283">
                  <c:v>54.93522770049772</c:v>
                </c:pt>
                <c:pt idx="284">
                  <c:v>54.92218125795597</c:v>
                </c:pt>
                <c:pt idx="285">
                  <c:v>54.909255416356757</c:v>
                </c:pt>
                <c:pt idx="286">
                  <c:v>54.89644906086842</c:v>
                </c:pt>
                <c:pt idx="287">
                  <c:v>54.883761086964746</c:v>
                </c:pt>
                <c:pt idx="288">
                  <c:v>54.871190400329745</c:v>
                </c:pt>
                <c:pt idx="289">
                  <c:v>54.858735916763273</c:v>
                </c:pt>
                <c:pt idx="290">
                  <c:v>54.846396562087463</c:v>
                </c:pt>
                <c:pt idx="291">
                  <c:v>54.834171272054128</c:v>
                </c:pt>
                <c:pt idx="292">
                  <c:v>54.822058992252984</c:v>
                </c:pt>
                <c:pt idx="293">
                  <c:v>54.810058678020653</c:v>
                </c:pt>
                <c:pt idx="294">
                  <c:v>54.798169294350636</c:v>
                </c:pt>
                <c:pt idx="295">
                  <c:v>54.786389815803965</c:v>
                </c:pt>
                <c:pt idx="296">
                  <c:v>54.774719226420828</c:v>
                </c:pt>
                <c:pt idx="297">
                  <c:v>54.763156519632879</c:v>
                </c:pt>
                <c:pt idx="298">
                  <c:v>54.751700698176514</c:v>
                </c:pt>
                <c:pt idx="299">
                  <c:v>54.74035077400675</c:v>
                </c:pt>
                <c:pt idx="300">
                  <c:v>54.729105768212115</c:v>
                </c:pt>
                <c:pt idx="301">
                  <c:v>54.717964710930154</c:v>
                </c:pt>
                <c:pt idx="302">
                  <c:v>54.706926641263763</c:v>
                </c:pt>
                <c:pt idx="303">
                  <c:v>54.695990607198347</c:v>
                </c:pt>
                <c:pt idx="304">
                  <c:v>54.685155665519751</c:v>
                </c:pt>
                <c:pt idx="305">
                  <c:v>54.674420881732836</c:v>
                </c:pt>
                <c:pt idx="306">
                  <c:v>54.663785329980882</c:v>
                </c:pt>
                <c:pt idx="307">
                  <c:v>54.653248092965811</c:v>
                </c:pt>
                <c:pt idx="308">
                  <c:v>54.642808261869007</c:v>
                </c:pt>
                <c:pt idx="309">
                  <c:v>54.632464936272932</c:v>
                </c:pt>
                <c:pt idx="310">
                  <c:v>54.622217224083492</c:v>
                </c:pt>
                <c:pt idx="311">
                  <c:v>54.612064241453076</c:v>
                </c:pt>
                <c:pt idx="312">
                  <c:v>54.602005112704369</c:v>
                </c:pt>
                <c:pt idx="313">
                  <c:v>54.592038970254741</c:v>
                </c:pt>
                <c:pt idx="314">
                  <c:v>54.582164954541497</c:v>
                </c:pt>
                <c:pt idx="315">
                  <c:v>54.572382213947741</c:v>
                </c:pt>
                <c:pt idx="316">
                  <c:v>54.562689904728835</c:v>
                </c:pt>
                <c:pt idx="317">
                  <c:v>54.553087190939749</c:v>
                </c:pt>
                <c:pt idx="318">
                  <c:v>54.543573244362904</c:v>
                </c:pt>
                <c:pt idx="319">
                  <c:v>54.534147244436689</c:v>
                </c:pt>
                <c:pt idx="320">
                  <c:v>54.524808378184822</c:v>
                </c:pt>
                <c:pt idx="321">
                  <c:v>54.51555584014605</c:v>
                </c:pt>
                <c:pt idx="322">
                  <c:v>54.506388832304864</c:v>
                </c:pt>
                <c:pt idx="323">
                  <c:v>54.497306564022558</c:v>
                </c:pt>
                <c:pt idx="324">
                  <c:v>54.488308251969066</c:v>
                </c:pt>
                <c:pt idx="325">
                  <c:v>54.479393120055406</c:v>
                </c:pt>
                <c:pt idx="326">
                  <c:v>54.47056039936674</c:v>
                </c:pt>
                <c:pt idx="327">
                  <c:v>54.461809328096052</c:v>
                </c:pt>
                <c:pt idx="328">
                  <c:v>54.453139151478446</c:v>
                </c:pt>
                <c:pt idx="329">
                  <c:v>54.444549121726077</c:v>
                </c:pt>
                <c:pt idx="330">
                  <c:v>54.436038497963594</c:v>
                </c:pt>
                <c:pt idx="331">
                  <c:v>54.427606546164299</c:v>
                </c:pt>
                <c:pt idx="332">
                  <c:v>54.419252539086806</c:v>
                </c:pt>
                <c:pt idx="333">
                  <c:v>54.410975756212331</c:v>
                </c:pt>
                <c:pt idx="334">
                  <c:v>54.402775483682554</c:v>
                </c:pt>
                <c:pt idx="335">
                  <c:v>54.394651014238015</c:v>
                </c:pt>
                <c:pt idx="336">
                  <c:v>54.386601647157164</c:v>
                </c:pt>
                <c:pt idx="337">
                  <c:v>54.378626688195894</c:v>
                </c:pt>
                <c:pt idx="338">
                  <c:v>54.37072544952769</c:v>
                </c:pt>
                <c:pt idx="339">
                  <c:v>54.362897249684238</c:v>
                </c:pt>
                <c:pt idx="340">
                  <c:v>54.355141413496739</c:v>
                </c:pt>
                <c:pt idx="341">
                  <c:v>54.34745727203763</c:v>
                </c:pt>
                <c:pt idx="342">
                  <c:v>54.339844162562869</c:v>
                </c:pt>
                <c:pt idx="343">
                  <c:v>54.332301428454826</c:v>
                </c:pt>
                <c:pt idx="344">
                  <c:v>54.324828419165641</c:v>
                </c:pt>
                <c:pt idx="345">
                  <c:v>54.317424490161052</c:v>
                </c:pt>
                <c:pt idx="346">
                  <c:v>54.310089002864906</c:v>
                </c:pt>
                <c:pt idx="347">
                  <c:v>54.302821324603983</c:v>
                </c:pt>
                <c:pt idx="348">
                  <c:v>54.295620828553488</c:v>
                </c:pt>
                <c:pt idx="349">
                  <c:v>54.288486893683</c:v>
                </c:pt>
                <c:pt idx="350">
                  <c:v>54.281418904702882</c:v>
                </c:pt>
                <c:pt idx="351">
                  <c:v>54.274416252011171</c:v>
                </c:pt>
                <c:pt idx="352">
                  <c:v>54.267478331641115</c:v>
                </c:pt>
                <c:pt idx="353">
                  <c:v>54.26060454520897</c:v>
                </c:pt>
                <c:pt idx="354">
                  <c:v>54.253794299862427</c:v>
                </c:pt>
                <c:pt idx="355">
                  <c:v>54.247047008229529</c:v>
                </c:pt>
                <c:pt idx="356">
                  <c:v>54.240362088367917</c:v>
                </c:pt>
                <c:pt idx="357">
                  <c:v>54.233738963714735</c:v>
                </c:pt>
                <c:pt idx="358">
                  <c:v>54.227177063036862</c:v>
                </c:pt>
                <c:pt idx="359">
                  <c:v>54.220675820381572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020-4FEF-BEAB-B465842826D3}"/>
            </c:ext>
          </c:extLst>
        </c:ser>
        <c:ser>
          <c:idx val="1"/>
          <c:order val="1"/>
          <c:tx>
            <c:v>Seawater</c:v>
          </c:tx>
          <c:spPr>
            <a:ln w="28575" cap="rnd">
              <a:solidFill>
                <a:srgbClr val="00B0F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'Data Model Calculations'!$A$3:$A$663</c:f>
              <c:numCache>
                <c:formatCode>General</c:formatCode>
                <c:ptCount val="66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  <c:pt idx="60">
                  <c:v>6</c:v>
                </c:pt>
                <c:pt idx="61">
                  <c:v>6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6</c:v>
                </c:pt>
                <c:pt idx="66">
                  <c:v>6</c:v>
                </c:pt>
                <c:pt idx="67">
                  <c:v>6</c:v>
                </c:pt>
                <c:pt idx="68">
                  <c:v>6</c:v>
                </c:pt>
                <c:pt idx="69">
                  <c:v>6</c:v>
                </c:pt>
                <c:pt idx="70">
                  <c:v>6</c:v>
                </c:pt>
                <c:pt idx="71">
                  <c:v>6</c:v>
                </c:pt>
                <c:pt idx="72">
                  <c:v>7</c:v>
                </c:pt>
                <c:pt idx="73">
                  <c:v>7</c:v>
                </c:pt>
                <c:pt idx="74">
                  <c:v>7</c:v>
                </c:pt>
                <c:pt idx="75">
                  <c:v>7</c:v>
                </c:pt>
                <c:pt idx="76">
                  <c:v>7</c:v>
                </c:pt>
                <c:pt idx="77">
                  <c:v>7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7</c:v>
                </c:pt>
                <c:pt idx="82">
                  <c:v>7</c:v>
                </c:pt>
                <c:pt idx="83">
                  <c:v>7</c:v>
                </c:pt>
                <c:pt idx="84">
                  <c:v>8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11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11</c:v>
                </c:pt>
                <c:pt idx="128">
                  <c:v>11</c:v>
                </c:pt>
                <c:pt idx="129">
                  <c:v>11</c:v>
                </c:pt>
                <c:pt idx="130">
                  <c:v>11</c:v>
                </c:pt>
                <c:pt idx="131">
                  <c:v>11</c:v>
                </c:pt>
                <c:pt idx="132">
                  <c:v>12</c:v>
                </c:pt>
                <c:pt idx="133">
                  <c:v>12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12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13</c:v>
                </c:pt>
                <c:pt idx="148">
                  <c:v>13</c:v>
                </c:pt>
                <c:pt idx="149">
                  <c:v>13</c:v>
                </c:pt>
                <c:pt idx="150">
                  <c:v>13</c:v>
                </c:pt>
                <c:pt idx="151">
                  <c:v>13</c:v>
                </c:pt>
                <c:pt idx="152">
                  <c:v>13</c:v>
                </c:pt>
                <c:pt idx="153">
                  <c:v>13</c:v>
                </c:pt>
                <c:pt idx="154">
                  <c:v>13</c:v>
                </c:pt>
                <c:pt idx="155">
                  <c:v>13</c:v>
                </c:pt>
                <c:pt idx="156">
                  <c:v>14</c:v>
                </c:pt>
                <c:pt idx="157">
                  <c:v>14</c:v>
                </c:pt>
                <c:pt idx="158">
                  <c:v>14</c:v>
                </c:pt>
                <c:pt idx="159">
                  <c:v>14</c:v>
                </c:pt>
                <c:pt idx="160">
                  <c:v>14</c:v>
                </c:pt>
                <c:pt idx="161">
                  <c:v>14</c:v>
                </c:pt>
                <c:pt idx="162">
                  <c:v>14</c:v>
                </c:pt>
                <c:pt idx="163">
                  <c:v>14</c:v>
                </c:pt>
                <c:pt idx="164">
                  <c:v>14</c:v>
                </c:pt>
                <c:pt idx="165">
                  <c:v>14</c:v>
                </c:pt>
                <c:pt idx="166">
                  <c:v>14</c:v>
                </c:pt>
                <c:pt idx="167">
                  <c:v>14</c:v>
                </c:pt>
                <c:pt idx="168">
                  <c:v>15</c:v>
                </c:pt>
                <c:pt idx="169">
                  <c:v>15</c:v>
                </c:pt>
                <c:pt idx="170">
                  <c:v>15</c:v>
                </c:pt>
                <c:pt idx="171">
                  <c:v>15</c:v>
                </c:pt>
                <c:pt idx="172">
                  <c:v>15</c:v>
                </c:pt>
                <c:pt idx="173">
                  <c:v>15</c:v>
                </c:pt>
                <c:pt idx="174">
                  <c:v>15</c:v>
                </c:pt>
                <c:pt idx="175">
                  <c:v>15</c:v>
                </c:pt>
                <c:pt idx="176">
                  <c:v>15</c:v>
                </c:pt>
                <c:pt idx="177">
                  <c:v>15</c:v>
                </c:pt>
                <c:pt idx="178">
                  <c:v>15</c:v>
                </c:pt>
                <c:pt idx="179">
                  <c:v>15</c:v>
                </c:pt>
                <c:pt idx="180">
                  <c:v>16</c:v>
                </c:pt>
                <c:pt idx="181">
                  <c:v>16</c:v>
                </c:pt>
                <c:pt idx="182">
                  <c:v>16</c:v>
                </c:pt>
                <c:pt idx="183">
                  <c:v>16</c:v>
                </c:pt>
                <c:pt idx="184">
                  <c:v>16</c:v>
                </c:pt>
                <c:pt idx="185">
                  <c:v>16</c:v>
                </c:pt>
                <c:pt idx="186">
                  <c:v>16</c:v>
                </c:pt>
                <c:pt idx="187">
                  <c:v>16</c:v>
                </c:pt>
                <c:pt idx="188">
                  <c:v>16</c:v>
                </c:pt>
                <c:pt idx="189">
                  <c:v>16</c:v>
                </c:pt>
                <c:pt idx="190">
                  <c:v>16</c:v>
                </c:pt>
                <c:pt idx="191">
                  <c:v>16</c:v>
                </c:pt>
                <c:pt idx="192">
                  <c:v>17</c:v>
                </c:pt>
                <c:pt idx="193">
                  <c:v>17</c:v>
                </c:pt>
                <c:pt idx="194">
                  <c:v>17</c:v>
                </c:pt>
                <c:pt idx="195">
                  <c:v>17</c:v>
                </c:pt>
                <c:pt idx="196">
                  <c:v>17</c:v>
                </c:pt>
                <c:pt idx="197">
                  <c:v>17</c:v>
                </c:pt>
                <c:pt idx="198">
                  <c:v>17</c:v>
                </c:pt>
                <c:pt idx="199">
                  <c:v>17</c:v>
                </c:pt>
                <c:pt idx="200">
                  <c:v>17</c:v>
                </c:pt>
                <c:pt idx="201">
                  <c:v>17</c:v>
                </c:pt>
                <c:pt idx="202">
                  <c:v>17</c:v>
                </c:pt>
                <c:pt idx="203">
                  <c:v>17</c:v>
                </c:pt>
                <c:pt idx="204">
                  <c:v>18</c:v>
                </c:pt>
                <c:pt idx="205">
                  <c:v>18</c:v>
                </c:pt>
                <c:pt idx="206">
                  <c:v>18</c:v>
                </c:pt>
                <c:pt idx="207">
                  <c:v>18</c:v>
                </c:pt>
                <c:pt idx="208">
                  <c:v>18</c:v>
                </c:pt>
                <c:pt idx="209">
                  <c:v>18</c:v>
                </c:pt>
                <c:pt idx="210">
                  <c:v>18</c:v>
                </c:pt>
                <c:pt idx="211">
                  <c:v>18</c:v>
                </c:pt>
                <c:pt idx="212">
                  <c:v>18</c:v>
                </c:pt>
                <c:pt idx="213">
                  <c:v>18</c:v>
                </c:pt>
                <c:pt idx="214">
                  <c:v>18</c:v>
                </c:pt>
                <c:pt idx="215">
                  <c:v>18</c:v>
                </c:pt>
                <c:pt idx="216">
                  <c:v>19</c:v>
                </c:pt>
                <c:pt idx="217">
                  <c:v>19</c:v>
                </c:pt>
                <c:pt idx="218">
                  <c:v>19</c:v>
                </c:pt>
                <c:pt idx="219">
                  <c:v>19</c:v>
                </c:pt>
                <c:pt idx="220">
                  <c:v>19</c:v>
                </c:pt>
                <c:pt idx="221">
                  <c:v>19</c:v>
                </c:pt>
                <c:pt idx="222">
                  <c:v>19</c:v>
                </c:pt>
                <c:pt idx="223">
                  <c:v>19</c:v>
                </c:pt>
                <c:pt idx="224">
                  <c:v>19</c:v>
                </c:pt>
                <c:pt idx="225">
                  <c:v>19</c:v>
                </c:pt>
                <c:pt idx="226">
                  <c:v>19</c:v>
                </c:pt>
                <c:pt idx="227">
                  <c:v>19</c:v>
                </c:pt>
                <c:pt idx="228">
                  <c:v>20</c:v>
                </c:pt>
                <c:pt idx="229">
                  <c:v>20</c:v>
                </c:pt>
                <c:pt idx="230">
                  <c:v>20</c:v>
                </c:pt>
                <c:pt idx="231">
                  <c:v>20</c:v>
                </c:pt>
                <c:pt idx="232">
                  <c:v>20</c:v>
                </c:pt>
                <c:pt idx="233">
                  <c:v>20</c:v>
                </c:pt>
                <c:pt idx="234">
                  <c:v>20</c:v>
                </c:pt>
                <c:pt idx="235">
                  <c:v>20</c:v>
                </c:pt>
                <c:pt idx="236">
                  <c:v>20</c:v>
                </c:pt>
                <c:pt idx="237">
                  <c:v>20</c:v>
                </c:pt>
                <c:pt idx="238">
                  <c:v>20</c:v>
                </c:pt>
                <c:pt idx="239">
                  <c:v>20</c:v>
                </c:pt>
                <c:pt idx="240">
                  <c:v>21</c:v>
                </c:pt>
                <c:pt idx="241">
                  <c:v>21</c:v>
                </c:pt>
                <c:pt idx="242">
                  <c:v>21</c:v>
                </c:pt>
                <c:pt idx="243">
                  <c:v>21</c:v>
                </c:pt>
                <c:pt idx="244">
                  <c:v>21</c:v>
                </c:pt>
                <c:pt idx="245">
                  <c:v>21</c:v>
                </c:pt>
                <c:pt idx="246">
                  <c:v>21</c:v>
                </c:pt>
                <c:pt idx="247">
                  <c:v>21</c:v>
                </c:pt>
                <c:pt idx="248">
                  <c:v>21</c:v>
                </c:pt>
                <c:pt idx="249">
                  <c:v>21</c:v>
                </c:pt>
                <c:pt idx="250">
                  <c:v>21</c:v>
                </c:pt>
                <c:pt idx="251">
                  <c:v>21</c:v>
                </c:pt>
                <c:pt idx="252">
                  <c:v>22</c:v>
                </c:pt>
                <c:pt idx="253">
                  <c:v>22</c:v>
                </c:pt>
                <c:pt idx="254">
                  <c:v>22</c:v>
                </c:pt>
                <c:pt idx="255">
                  <c:v>22</c:v>
                </c:pt>
                <c:pt idx="256">
                  <c:v>22</c:v>
                </c:pt>
                <c:pt idx="257">
                  <c:v>22</c:v>
                </c:pt>
                <c:pt idx="258">
                  <c:v>22</c:v>
                </c:pt>
                <c:pt idx="259">
                  <c:v>22</c:v>
                </c:pt>
                <c:pt idx="260">
                  <c:v>22</c:v>
                </c:pt>
                <c:pt idx="261">
                  <c:v>22</c:v>
                </c:pt>
                <c:pt idx="262">
                  <c:v>22</c:v>
                </c:pt>
                <c:pt idx="263">
                  <c:v>22</c:v>
                </c:pt>
                <c:pt idx="264">
                  <c:v>23</c:v>
                </c:pt>
                <c:pt idx="265">
                  <c:v>23</c:v>
                </c:pt>
                <c:pt idx="266">
                  <c:v>23</c:v>
                </c:pt>
                <c:pt idx="267">
                  <c:v>23</c:v>
                </c:pt>
                <c:pt idx="268">
                  <c:v>23</c:v>
                </c:pt>
                <c:pt idx="269">
                  <c:v>23</c:v>
                </c:pt>
                <c:pt idx="270">
                  <c:v>23</c:v>
                </c:pt>
                <c:pt idx="271">
                  <c:v>23</c:v>
                </c:pt>
                <c:pt idx="272">
                  <c:v>23</c:v>
                </c:pt>
                <c:pt idx="273">
                  <c:v>23</c:v>
                </c:pt>
                <c:pt idx="274">
                  <c:v>23</c:v>
                </c:pt>
                <c:pt idx="275">
                  <c:v>23</c:v>
                </c:pt>
                <c:pt idx="276">
                  <c:v>24</c:v>
                </c:pt>
                <c:pt idx="277">
                  <c:v>24</c:v>
                </c:pt>
                <c:pt idx="278">
                  <c:v>24</c:v>
                </c:pt>
                <c:pt idx="279">
                  <c:v>24</c:v>
                </c:pt>
                <c:pt idx="280">
                  <c:v>24</c:v>
                </c:pt>
                <c:pt idx="281">
                  <c:v>24</c:v>
                </c:pt>
                <c:pt idx="282">
                  <c:v>24</c:v>
                </c:pt>
                <c:pt idx="283">
                  <c:v>24</c:v>
                </c:pt>
                <c:pt idx="284">
                  <c:v>24</c:v>
                </c:pt>
                <c:pt idx="285">
                  <c:v>24</c:v>
                </c:pt>
                <c:pt idx="286">
                  <c:v>24</c:v>
                </c:pt>
                <c:pt idx="287">
                  <c:v>24</c:v>
                </c:pt>
                <c:pt idx="288">
                  <c:v>25</c:v>
                </c:pt>
                <c:pt idx="289">
                  <c:v>25</c:v>
                </c:pt>
                <c:pt idx="290">
                  <c:v>25</c:v>
                </c:pt>
                <c:pt idx="291">
                  <c:v>25</c:v>
                </c:pt>
                <c:pt idx="292">
                  <c:v>25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25</c:v>
                </c:pt>
                <c:pt idx="297">
                  <c:v>25</c:v>
                </c:pt>
                <c:pt idx="298">
                  <c:v>25</c:v>
                </c:pt>
                <c:pt idx="299">
                  <c:v>25</c:v>
                </c:pt>
                <c:pt idx="300">
                  <c:v>26</c:v>
                </c:pt>
                <c:pt idx="301">
                  <c:v>26</c:v>
                </c:pt>
                <c:pt idx="302">
                  <c:v>26</c:v>
                </c:pt>
                <c:pt idx="303">
                  <c:v>26</c:v>
                </c:pt>
                <c:pt idx="304">
                  <c:v>26</c:v>
                </c:pt>
                <c:pt idx="305">
                  <c:v>26</c:v>
                </c:pt>
                <c:pt idx="306">
                  <c:v>26</c:v>
                </c:pt>
                <c:pt idx="307">
                  <c:v>26</c:v>
                </c:pt>
                <c:pt idx="308">
                  <c:v>26</c:v>
                </c:pt>
                <c:pt idx="309">
                  <c:v>26</c:v>
                </c:pt>
                <c:pt idx="310">
                  <c:v>26</c:v>
                </c:pt>
                <c:pt idx="311">
                  <c:v>26</c:v>
                </c:pt>
                <c:pt idx="312">
                  <c:v>27</c:v>
                </c:pt>
                <c:pt idx="313">
                  <c:v>27</c:v>
                </c:pt>
                <c:pt idx="314">
                  <c:v>27</c:v>
                </c:pt>
                <c:pt idx="315">
                  <c:v>27</c:v>
                </c:pt>
                <c:pt idx="316">
                  <c:v>27</c:v>
                </c:pt>
                <c:pt idx="317">
                  <c:v>27</c:v>
                </c:pt>
                <c:pt idx="318">
                  <c:v>27</c:v>
                </c:pt>
                <c:pt idx="319">
                  <c:v>27</c:v>
                </c:pt>
                <c:pt idx="320">
                  <c:v>27</c:v>
                </c:pt>
                <c:pt idx="321">
                  <c:v>27</c:v>
                </c:pt>
                <c:pt idx="322">
                  <c:v>27</c:v>
                </c:pt>
                <c:pt idx="323">
                  <c:v>27</c:v>
                </c:pt>
                <c:pt idx="324">
                  <c:v>28</c:v>
                </c:pt>
                <c:pt idx="325">
                  <c:v>28</c:v>
                </c:pt>
                <c:pt idx="326">
                  <c:v>28</c:v>
                </c:pt>
                <c:pt idx="327">
                  <c:v>28</c:v>
                </c:pt>
                <c:pt idx="328">
                  <c:v>28</c:v>
                </c:pt>
                <c:pt idx="329">
                  <c:v>28</c:v>
                </c:pt>
                <c:pt idx="330">
                  <c:v>28</c:v>
                </c:pt>
                <c:pt idx="331">
                  <c:v>28</c:v>
                </c:pt>
                <c:pt idx="332">
                  <c:v>28</c:v>
                </c:pt>
                <c:pt idx="333">
                  <c:v>28</c:v>
                </c:pt>
                <c:pt idx="334">
                  <c:v>28</c:v>
                </c:pt>
                <c:pt idx="335">
                  <c:v>28</c:v>
                </c:pt>
                <c:pt idx="336">
                  <c:v>29</c:v>
                </c:pt>
                <c:pt idx="337">
                  <c:v>29</c:v>
                </c:pt>
                <c:pt idx="338">
                  <c:v>29</c:v>
                </c:pt>
                <c:pt idx="339">
                  <c:v>29</c:v>
                </c:pt>
                <c:pt idx="340">
                  <c:v>29</c:v>
                </c:pt>
                <c:pt idx="341">
                  <c:v>29</c:v>
                </c:pt>
                <c:pt idx="342">
                  <c:v>29</c:v>
                </c:pt>
                <c:pt idx="343">
                  <c:v>29</c:v>
                </c:pt>
                <c:pt idx="344">
                  <c:v>29</c:v>
                </c:pt>
                <c:pt idx="345">
                  <c:v>29</c:v>
                </c:pt>
                <c:pt idx="346">
                  <c:v>29</c:v>
                </c:pt>
                <c:pt idx="347">
                  <c:v>29</c:v>
                </c:pt>
                <c:pt idx="348">
                  <c:v>30</c:v>
                </c:pt>
                <c:pt idx="349">
                  <c:v>30</c:v>
                </c:pt>
                <c:pt idx="350">
                  <c:v>30</c:v>
                </c:pt>
                <c:pt idx="351">
                  <c:v>30</c:v>
                </c:pt>
                <c:pt idx="352">
                  <c:v>30</c:v>
                </c:pt>
                <c:pt idx="353">
                  <c:v>30</c:v>
                </c:pt>
                <c:pt idx="354">
                  <c:v>30</c:v>
                </c:pt>
                <c:pt idx="355">
                  <c:v>30</c:v>
                </c:pt>
                <c:pt idx="356">
                  <c:v>30</c:v>
                </c:pt>
                <c:pt idx="357">
                  <c:v>30</c:v>
                </c:pt>
                <c:pt idx="358">
                  <c:v>30</c:v>
                </c:pt>
                <c:pt idx="359">
                  <c:v>30</c:v>
                </c:pt>
                <c:pt idx="360">
                  <c:v>31</c:v>
                </c:pt>
                <c:pt idx="361">
                  <c:v>31</c:v>
                </c:pt>
                <c:pt idx="362">
                  <c:v>31</c:v>
                </c:pt>
                <c:pt idx="363">
                  <c:v>31</c:v>
                </c:pt>
                <c:pt idx="364">
                  <c:v>31</c:v>
                </c:pt>
                <c:pt idx="365">
                  <c:v>31</c:v>
                </c:pt>
                <c:pt idx="366">
                  <c:v>31</c:v>
                </c:pt>
                <c:pt idx="367">
                  <c:v>31</c:v>
                </c:pt>
                <c:pt idx="368">
                  <c:v>31</c:v>
                </c:pt>
                <c:pt idx="369">
                  <c:v>31</c:v>
                </c:pt>
                <c:pt idx="370">
                  <c:v>31</c:v>
                </c:pt>
                <c:pt idx="371">
                  <c:v>31</c:v>
                </c:pt>
                <c:pt idx="372">
                  <c:v>32</c:v>
                </c:pt>
                <c:pt idx="373">
                  <c:v>32</c:v>
                </c:pt>
                <c:pt idx="374">
                  <c:v>32</c:v>
                </c:pt>
                <c:pt idx="375">
                  <c:v>32</c:v>
                </c:pt>
                <c:pt idx="376">
                  <c:v>32</c:v>
                </c:pt>
                <c:pt idx="377">
                  <c:v>32</c:v>
                </c:pt>
                <c:pt idx="378">
                  <c:v>32</c:v>
                </c:pt>
                <c:pt idx="379">
                  <c:v>32</c:v>
                </c:pt>
                <c:pt idx="380">
                  <c:v>32</c:v>
                </c:pt>
                <c:pt idx="381">
                  <c:v>32</c:v>
                </c:pt>
                <c:pt idx="382">
                  <c:v>32</c:v>
                </c:pt>
                <c:pt idx="383">
                  <c:v>32</c:v>
                </c:pt>
                <c:pt idx="384">
                  <c:v>33</c:v>
                </c:pt>
                <c:pt idx="385">
                  <c:v>33</c:v>
                </c:pt>
                <c:pt idx="386">
                  <c:v>33</c:v>
                </c:pt>
                <c:pt idx="387">
                  <c:v>33</c:v>
                </c:pt>
                <c:pt idx="388">
                  <c:v>33</c:v>
                </c:pt>
                <c:pt idx="389">
                  <c:v>33</c:v>
                </c:pt>
                <c:pt idx="390">
                  <c:v>33</c:v>
                </c:pt>
                <c:pt idx="391">
                  <c:v>33</c:v>
                </c:pt>
                <c:pt idx="392">
                  <c:v>33</c:v>
                </c:pt>
                <c:pt idx="393">
                  <c:v>33</c:v>
                </c:pt>
                <c:pt idx="394">
                  <c:v>33</c:v>
                </c:pt>
                <c:pt idx="395">
                  <c:v>33</c:v>
                </c:pt>
                <c:pt idx="396">
                  <c:v>34</c:v>
                </c:pt>
                <c:pt idx="397">
                  <c:v>34</c:v>
                </c:pt>
                <c:pt idx="398">
                  <c:v>34</c:v>
                </c:pt>
                <c:pt idx="399">
                  <c:v>34</c:v>
                </c:pt>
                <c:pt idx="400">
                  <c:v>34</c:v>
                </c:pt>
                <c:pt idx="401">
                  <c:v>34</c:v>
                </c:pt>
                <c:pt idx="402">
                  <c:v>34</c:v>
                </c:pt>
                <c:pt idx="403">
                  <c:v>34</c:v>
                </c:pt>
                <c:pt idx="404">
                  <c:v>34</c:v>
                </c:pt>
                <c:pt idx="405">
                  <c:v>34</c:v>
                </c:pt>
                <c:pt idx="406">
                  <c:v>34</c:v>
                </c:pt>
                <c:pt idx="407">
                  <c:v>34</c:v>
                </c:pt>
                <c:pt idx="408">
                  <c:v>35</c:v>
                </c:pt>
                <c:pt idx="409">
                  <c:v>35</c:v>
                </c:pt>
                <c:pt idx="410">
                  <c:v>35</c:v>
                </c:pt>
                <c:pt idx="411">
                  <c:v>35</c:v>
                </c:pt>
                <c:pt idx="412">
                  <c:v>35</c:v>
                </c:pt>
                <c:pt idx="413">
                  <c:v>35</c:v>
                </c:pt>
                <c:pt idx="414">
                  <c:v>35</c:v>
                </c:pt>
                <c:pt idx="415">
                  <c:v>35</c:v>
                </c:pt>
                <c:pt idx="416">
                  <c:v>35</c:v>
                </c:pt>
                <c:pt idx="417">
                  <c:v>35</c:v>
                </c:pt>
                <c:pt idx="418">
                  <c:v>35</c:v>
                </c:pt>
                <c:pt idx="419">
                  <c:v>35</c:v>
                </c:pt>
                <c:pt idx="420">
                  <c:v>36</c:v>
                </c:pt>
                <c:pt idx="421">
                  <c:v>36</c:v>
                </c:pt>
                <c:pt idx="422">
                  <c:v>36</c:v>
                </c:pt>
                <c:pt idx="423">
                  <c:v>36</c:v>
                </c:pt>
                <c:pt idx="424">
                  <c:v>36</c:v>
                </c:pt>
                <c:pt idx="425">
                  <c:v>36</c:v>
                </c:pt>
                <c:pt idx="426">
                  <c:v>36</c:v>
                </c:pt>
                <c:pt idx="427">
                  <c:v>36</c:v>
                </c:pt>
                <c:pt idx="428">
                  <c:v>36</c:v>
                </c:pt>
                <c:pt idx="429">
                  <c:v>36</c:v>
                </c:pt>
                <c:pt idx="430">
                  <c:v>36</c:v>
                </c:pt>
                <c:pt idx="431">
                  <c:v>36</c:v>
                </c:pt>
                <c:pt idx="432">
                  <c:v>37</c:v>
                </c:pt>
                <c:pt idx="433">
                  <c:v>37</c:v>
                </c:pt>
                <c:pt idx="434">
                  <c:v>37</c:v>
                </c:pt>
                <c:pt idx="435">
                  <c:v>37</c:v>
                </c:pt>
                <c:pt idx="436">
                  <c:v>37</c:v>
                </c:pt>
                <c:pt idx="437">
                  <c:v>37</c:v>
                </c:pt>
                <c:pt idx="438">
                  <c:v>37</c:v>
                </c:pt>
                <c:pt idx="439">
                  <c:v>37</c:v>
                </c:pt>
                <c:pt idx="440">
                  <c:v>37</c:v>
                </c:pt>
                <c:pt idx="441">
                  <c:v>37</c:v>
                </c:pt>
                <c:pt idx="442">
                  <c:v>37</c:v>
                </c:pt>
                <c:pt idx="443">
                  <c:v>37</c:v>
                </c:pt>
                <c:pt idx="444">
                  <c:v>38</c:v>
                </c:pt>
                <c:pt idx="445">
                  <c:v>38</c:v>
                </c:pt>
                <c:pt idx="446">
                  <c:v>38</c:v>
                </c:pt>
                <c:pt idx="447">
                  <c:v>38</c:v>
                </c:pt>
                <c:pt idx="448">
                  <c:v>38</c:v>
                </c:pt>
                <c:pt idx="449">
                  <c:v>38</c:v>
                </c:pt>
                <c:pt idx="450">
                  <c:v>38</c:v>
                </c:pt>
                <c:pt idx="451">
                  <c:v>38</c:v>
                </c:pt>
                <c:pt idx="452">
                  <c:v>38</c:v>
                </c:pt>
                <c:pt idx="453">
                  <c:v>38</c:v>
                </c:pt>
                <c:pt idx="454">
                  <c:v>38</c:v>
                </c:pt>
                <c:pt idx="455">
                  <c:v>38</c:v>
                </c:pt>
                <c:pt idx="456">
                  <c:v>39</c:v>
                </c:pt>
                <c:pt idx="457">
                  <c:v>39</c:v>
                </c:pt>
                <c:pt idx="458">
                  <c:v>39</c:v>
                </c:pt>
                <c:pt idx="459">
                  <c:v>39</c:v>
                </c:pt>
                <c:pt idx="460">
                  <c:v>39</c:v>
                </c:pt>
                <c:pt idx="461">
                  <c:v>39</c:v>
                </c:pt>
                <c:pt idx="462">
                  <c:v>39</c:v>
                </c:pt>
                <c:pt idx="463">
                  <c:v>39</c:v>
                </c:pt>
                <c:pt idx="464">
                  <c:v>39</c:v>
                </c:pt>
                <c:pt idx="465">
                  <c:v>39</c:v>
                </c:pt>
                <c:pt idx="466">
                  <c:v>39</c:v>
                </c:pt>
                <c:pt idx="467">
                  <c:v>39</c:v>
                </c:pt>
                <c:pt idx="468">
                  <c:v>40</c:v>
                </c:pt>
                <c:pt idx="469">
                  <c:v>40</c:v>
                </c:pt>
                <c:pt idx="470">
                  <c:v>40</c:v>
                </c:pt>
                <c:pt idx="471">
                  <c:v>40</c:v>
                </c:pt>
                <c:pt idx="472">
                  <c:v>40</c:v>
                </c:pt>
                <c:pt idx="473">
                  <c:v>40</c:v>
                </c:pt>
                <c:pt idx="474">
                  <c:v>40</c:v>
                </c:pt>
                <c:pt idx="475">
                  <c:v>40</c:v>
                </c:pt>
                <c:pt idx="476">
                  <c:v>40</c:v>
                </c:pt>
                <c:pt idx="477">
                  <c:v>40</c:v>
                </c:pt>
                <c:pt idx="478">
                  <c:v>40</c:v>
                </c:pt>
                <c:pt idx="479">
                  <c:v>40</c:v>
                </c:pt>
                <c:pt idx="480">
                  <c:v>41</c:v>
                </c:pt>
                <c:pt idx="481">
                  <c:v>41</c:v>
                </c:pt>
                <c:pt idx="482">
                  <c:v>41</c:v>
                </c:pt>
                <c:pt idx="483">
                  <c:v>41</c:v>
                </c:pt>
                <c:pt idx="484">
                  <c:v>41</c:v>
                </c:pt>
                <c:pt idx="485">
                  <c:v>41</c:v>
                </c:pt>
                <c:pt idx="486">
                  <c:v>41</c:v>
                </c:pt>
                <c:pt idx="487">
                  <c:v>41</c:v>
                </c:pt>
                <c:pt idx="488">
                  <c:v>41</c:v>
                </c:pt>
                <c:pt idx="489">
                  <c:v>41</c:v>
                </c:pt>
                <c:pt idx="490">
                  <c:v>41</c:v>
                </c:pt>
                <c:pt idx="491">
                  <c:v>41</c:v>
                </c:pt>
                <c:pt idx="492">
                  <c:v>42</c:v>
                </c:pt>
                <c:pt idx="493">
                  <c:v>42</c:v>
                </c:pt>
                <c:pt idx="494">
                  <c:v>42</c:v>
                </c:pt>
                <c:pt idx="495">
                  <c:v>42</c:v>
                </c:pt>
                <c:pt idx="496">
                  <c:v>42</c:v>
                </c:pt>
                <c:pt idx="497">
                  <c:v>42</c:v>
                </c:pt>
                <c:pt idx="498">
                  <c:v>42</c:v>
                </c:pt>
                <c:pt idx="499">
                  <c:v>42</c:v>
                </c:pt>
                <c:pt idx="500">
                  <c:v>42</c:v>
                </c:pt>
                <c:pt idx="501">
                  <c:v>42</c:v>
                </c:pt>
                <c:pt idx="502">
                  <c:v>42</c:v>
                </c:pt>
                <c:pt idx="503">
                  <c:v>42</c:v>
                </c:pt>
                <c:pt idx="504">
                  <c:v>43</c:v>
                </c:pt>
                <c:pt idx="505">
                  <c:v>43</c:v>
                </c:pt>
                <c:pt idx="506">
                  <c:v>43</c:v>
                </c:pt>
                <c:pt idx="507">
                  <c:v>43</c:v>
                </c:pt>
                <c:pt idx="508">
                  <c:v>43</c:v>
                </c:pt>
                <c:pt idx="509">
                  <c:v>43</c:v>
                </c:pt>
                <c:pt idx="510">
                  <c:v>43</c:v>
                </c:pt>
                <c:pt idx="511">
                  <c:v>43</c:v>
                </c:pt>
                <c:pt idx="512">
                  <c:v>43</c:v>
                </c:pt>
                <c:pt idx="513">
                  <c:v>43</c:v>
                </c:pt>
                <c:pt idx="514">
                  <c:v>43</c:v>
                </c:pt>
                <c:pt idx="515">
                  <c:v>43</c:v>
                </c:pt>
                <c:pt idx="516">
                  <c:v>44</c:v>
                </c:pt>
                <c:pt idx="517">
                  <c:v>44</c:v>
                </c:pt>
                <c:pt idx="518">
                  <c:v>44</c:v>
                </c:pt>
                <c:pt idx="519">
                  <c:v>44</c:v>
                </c:pt>
                <c:pt idx="520">
                  <c:v>44</c:v>
                </c:pt>
                <c:pt idx="521">
                  <c:v>44</c:v>
                </c:pt>
                <c:pt idx="522">
                  <c:v>44</c:v>
                </c:pt>
                <c:pt idx="523">
                  <c:v>44</c:v>
                </c:pt>
                <c:pt idx="524">
                  <c:v>44</c:v>
                </c:pt>
                <c:pt idx="525">
                  <c:v>44</c:v>
                </c:pt>
                <c:pt idx="526">
                  <c:v>44</c:v>
                </c:pt>
                <c:pt idx="527">
                  <c:v>44</c:v>
                </c:pt>
                <c:pt idx="528">
                  <c:v>45</c:v>
                </c:pt>
                <c:pt idx="529">
                  <c:v>45</c:v>
                </c:pt>
                <c:pt idx="530">
                  <c:v>45</c:v>
                </c:pt>
                <c:pt idx="531">
                  <c:v>45</c:v>
                </c:pt>
                <c:pt idx="532">
                  <c:v>45</c:v>
                </c:pt>
                <c:pt idx="533">
                  <c:v>45</c:v>
                </c:pt>
                <c:pt idx="534">
                  <c:v>45</c:v>
                </c:pt>
                <c:pt idx="535">
                  <c:v>45</c:v>
                </c:pt>
                <c:pt idx="536">
                  <c:v>45</c:v>
                </c:pt>
                <c:pt idx="537">
                  <c:v>45</c:v>
                </c:pt>
                <c:pt idx="538">
                  <c:v>45</c:v>
                </c:pt>
                <c:pt idx="539">
                  <c:v>45</c:v>
                </c:pt>
                <c:pt idx="540">
                  <c:v>46</c:v>
                </c:pt>
                <c:pt idx="541">
                  <c:v>46</c:v>
                </c:pt>
                <c:pt idx="542">
                  <c:v>46</c:v>
                </c:pt>
                <c:pt idx="543">
                  <c:v>46</c:v>
                </c:pt>
                <c:pt idx="544">
                  <c:v>46</c:v>
                </c:pt>
                <c:pt idx="545">
                  <c:v>46</c:v>
                </c:pt>
                <c:pt idx="546">
                  <c:v>46</c:v>
                </c:pt>
                <c:pt idx="547">
                  <c:v>46</c:v>
                </c:pt>
                <c:pt idx="548">
                  <c:v>46</c:v>
                </c:pt>
                <c:pt idx="549">
                  <c:v>46</c:v>
                </c:pt>
                <c:pt idx="550">
                  <c:v>46</c:v>
                </c:pt>
                <c:pt idx="551">
                  <c:v>46</c:v>
                </c:pt>
                <c:pt idx="552">
                  <c:v>47</c:v>
                </c:pt>
                <c:pt idx="553">
                  <c:v>47</c:v>
                </c:pt>
                <c:pt idx="554">
                  <c:v>47</c:v>
                </c:pt>
                <c:pt idx="555">
                  <c:v>47</c:v>
                </c:pt>
                <c:pt idx="556">
                  <c:v>47</c:v>
                </c:pt>
                <c:pt idx="557">
                  <c:v>47</c:v>
                </c:pt>
                <c:pt idx="558">
                  <c:v>47</c:v>
                </c:pt>
                <c:pt idx="559">
                  <c:v>47</c:v>
                </c:pt>
                <c:pt idx="560">
                  <c:v>47</c:v>
                </c:pt>
                <c:pt idx="561">
                  <c:v>47</c:v>
                </c:pt>
                <c:pt idx="562">
                  <c:v>47</c:v>
                </c:pt>
                <c:pt idx="563">
                  <c:v>47</c:v>
                </c:pt>
                <c:pt idx="564">
                  <c:v>48</c:v>
                </c:pt>
                <c:pt idx="565">
                  <c:v>48</c:v>
                </c:pt>
                <c:pt idx="566">
                  <c:v>48</c:v>
                </c:pt>
                <c:pt idx="567">
                  <c:v>48</c:v>
                </c:pt>
                <c:pt idx="568">
                  <c:v>48</c:v>
                </c:pt>
                <c:pt idx="569">
                  <c:v>48</c:v>
                </c:pt>
                <c:pt idx="570">
                  <c:v>48</c:v>
                </c:pt>
                <c:pt idx="571">
                  <c:v>48</c:v>
                </c:pt>
                <c:pt idx="572">
                  <c:v>48</c:v>
                </c:pt>
                <c:pt idx="573">
                  <c:v>48</c:v>
                </c:pt>
                <c:pt idx="574">
                  <c:v>48</c:v>
                </c:pt>
                <c:pt idx="575">
                  <c:v>48</c:v>
                </c:pt>
                <c:pt idx="576">
                  <c:v>49</c:v>
                </c:pt>
                <c:pt idx="577">
                  <c:v>49</c:v>
                </c:pt>
                <c:pt idx="578">
                  <c:v>49</c:v>
                </c:pt>
                <c:pt idx="579">
                  <c:v>49</c:v>
                </c:pt>
                <c:pt idx="580">
                  <c:v>49</c:v>
                </c:pt>
                <c:pt idx="581">
                  <c:v>49</c:v>
                </c:pt>
                <c:pt idx="582">
                  <c:v>49</c:v>
                </c:pt>
                <c:pt idx="583">
                  <c:v>49</c:v>
                </c:pt>
                <c:pt idx="584">
                  <c:v>49</c:v>
                </c:pt>
                <c:pt idx="585">
                  <c:v>49</c:v>
                </c:pt>
                <c:pt idx="586">
                  <c:v>49</c:v>
                </c:pt>
                <c:pt idx="587">
                  <c:v>49</c:v>
                </c:pt>
                <c:pt idx="588">
                  <c:v>50</c:v>
                </c:pt>
                <c:pt idx="589">
                  <c:v>50</c:v>
                </c:pt>
                <c:pt idx="590">
                  <c:v>50</c:v>
                </c:pt>
                <c:pt idx="591">
                  <c:v>50</c:v>
                </c:pt>
                <c:pt idx="592">
                  <c:v>50</c:v>
                </c:pt>
                <c:pt idx="593">
                  <c:v>50</c:v>
                </c:pt>
                <c:pt idx="594">
                  <c:v>50</c:v>
                </c:pt>
                <c:pt idx="595">
                  <c:v>50</c:v>
                </c:pt>
                <c:pt idx="596">
                  <c:v>50</c:v>
                </c:pt>
                <c:pt idx="597">
                  <c:v>50</c:v>
                </c:pt>
                <c:pt idx="598">
                  <c:v>50</c:v>
                </c:pt>
                <c:pt idx="599">
                  <c:v>50</c:v>
                </c:pt>
                <c:pt idx="600">
                  <c:v>51</c:v>
                </c:pt>
                <c:pt idx="601">
                  <c:v>51</c:v>
                </c:pt>
                <c:pt idx="602">
                  <c:v>51</c:v>
                </c:pt>
                <c:pt idx="603">
                  <c:v>51</c:v>
                </c:pt>
                <c:pt idx="604">
                  <c:v>51</c:v>
                </c:pt>
                <c:pt idx="605">
                  <c:v>51</c:v>
                </c:pt>
                <c:pt idx="606">
                  <c:v>51</c:v>
                </c:pt>
                <c:pt idx="607">
                  <c:v>51</c:v>
                </c:pt>
                <c:pt idx="608">
                  <c:v>51</c:v>
                </c:pt>
                <c:pt idx="609">
                  <c:v>51</c:v>
                </c:pt>
                <c:pt idx="610">
                  <c:v>51</c:v>
                </c:pt>
                <c:pt idx="611">
                  <c:v>51</c:v>
                </c:pt>
                <c:pt idx="612">
                  <c:v>52</c:v>
                </c:pt>
                <c:pt idx="613">
                  <c:v>52</c:v>
                </c:pt>
                <c:pt idx="614">
                  <c:v>52</c:v>
                </c:pt>
                <c:pt idx="615">
                  <c:v>52</c:v>
                </c:pt>
                <c:pt idx="616">
                  <c:v>52</c:v>
                </c:pt>
                <c:pt idx="617">
                  <c:v>52</c:v>
                </c:pt>
                <c:pt idx="618">
                  <c:v>52</c:v>
                </c:pt>
                <c:pt idx="619">
                  <c:v>52</c:v>
                </c:pt>
                <c:pt idx="620">
                  <c:v>52</c:v>
                </c:pt>
                <c:pt idx="621">
                  <c:v>52</c:v>
                </c:pt>
                <c:pt idx="622">
                  <c:v>52</c:v>
                </c:pt>
                <c:pt idx="623">
                  <c:v>52</c:v>
                </c:pt>
                <c:pt idx="624">
                  <c:v>53</c:v>
                </c:pt>
                <c:pt idx="625">
                  <c:v>53</c:v>
                </c:pt>
                <c:pt idx="626">
                  <c:v>53</c:v>
                </c:pt>
                <c:pt idx="627">
                  <c:v>53</c:v>
                </c:pt>
                <c:pt idx="628">
                  <c:v>53</c:v>
                </c:pt>
                <c:pt idx="629">
                  <c:v>53</c:v>
                </c:pt>
                <c:pt idx="630">
                  <c:v>53</c:v>
                </c:pt>
                <c:pt idx="631">
                  <c:v>53</c:v>
                </c:pt>
                <c:pt idx="632">
                  <c:v>53</c:v>
                </c:pt>
                <c:pt idx="633">
                  <c:v>53</c:v>
                </c:pt>
                <c:pt idx="634">
                  <c:v>53</c:v>
                </c:pt>
                <c:pt idx="635">
                  <c:v>53</c:v>
                </c:pt>
                <c:pt idx="636">
                  <c:v>54</c:v>
                </c:pt>
                <c:pt idx="637">
                  <c:v>54</c:v>
                </c:pt>
                <c:pt idx="638">
                  <c:v>54</c:v>
                </c:pt>
                <c:pt idx="639">
                  <c:v>54</c:v>
                </c:pt>
                <c:pt idx="640">
                  <c:v>54</c:v>
                </c:pt>
                <c:pt idx="641">
                  <c:v>54</c:v>
                </c:pt>
                <c:pt idx="642">
                  <c:v>54</c:v>
                </c:pt>
                <c:pt idx="643">
                  <c:v>54</c:v>
                </c:pt>
                <c:pt idx="644">
                  <c:v>54</c:v>
                </c:pt>
                <c:pt idx="645">
                  <c:v>54</c:v>
                </c:pt>
                <c:pt idx="646">
                  <c:v>54</c:v>
                </c:pt>
                <c:pt idx="647">
                  <c:v>54</c:v>
                </c:pt>
                <c:pt idx="648">
                  <c:v>55</c:v>
                </c:pt>
                <c:pt idx="649">
                  <c:v>55</c:v>
                </c:pt>
                <c:pt idx="650">
                  <c:v>55</c:v>
                </c:pt>
                <c:pt idx="651">
                  <c:v>55</c:v>
                </c:pt>
                <c:pt idx="652">
                  <c:v>55</c:v>
                </c:pt>
                <c:pt idx="653">
                  <c:v>55</c:v>
                </c:pt>
                <c:pt idx="654">
                  <c:v>55</c:v>
                </c:pt>
                <c:pt idx="655">
                  <c:v>55</c:v>
                </c:pt>
                <c:pt idx="656">
                  <c:v>55</c:v>
                </c:pt>
                <c:pt idx="657">
                  <c:v>55</c:v>
                </c:pt>
                <c:pt idx="658">
                  <c:v>55</c:v>
                </c:pt>
                <c:pt idx="659">
                  <c:v>55</c:v>
                </c:pt>
                <c:pt idx="660">
                  <c:v>56</c:v>
                </c:pt>
              </c:numCache>
            </c:numRef>
          </c:cat>
          <c:val>
            <c:numRef>
              <c:f>'Data Model Calculations'!$S$3:$S$362</c:f>
              <c:numCache>
                <c:formatCode>General</c:formatCode>
                <c:ptCount val="360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  <c:pt idx="24">
                  <c:v>35</c:v>
                </c:pt>
                <c:pt idx="25">
                  <c:v>35</c:v>
                </c:pt>
                <c:pt idx="26">
                  <c:v>35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35</c:v>
                </c:pt>
                <c:pt idx="35">
                  <c:v>35</c:v>
                </c:pt>
                <c:pt idx="36">
                  <c:v>35</c:v>
                </c:pt>
                <c:pt idx="37">
                  <c:v>35</c:v>
                </c:pt>
                <c:pt idx="38">
                  <c:v>35</c:v>
                </c:pt>
                <c:pt idx="39">
                  <c:v>35</c:v>
                </c:pt>
                <c:pt idx="40">
                  <c:v>35</c:v>
                </c:pt>
                <c:pt idx="41">
                  <c:v>35</c:v>
                </c:pt>
                <c:pt idx="42">
                  <c:v>35</c:v>
                </c:pt>
                <c:pt idx="43">
                  <c:v>35</c:v>
                </c:pt>
                <c:pt idx="44">
                  <c:v>35</c:v>
                </c:pt>
                <c:pt idx="45">
                  <c:v>35</c:v>
                </c:pt>
                <c:pt idx="46">
                  <c:v>35</c:v>
                </c:pt>
                <c:pt idx="47">
                  <c:v>35</c:v>
                </c:pt>
                <c:pt idx="48">
                  <c:v>35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35</c:v>
                </c:pt>
                <c:pt idx="55">
                  <c:v>35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35</c:v>
                </c:pt>
                <c:pt idx="62">
                  <c:v>35</c:v>
                </c:pt>
                <c:pt idx="63">
                  <c:v>35</c:v>
                </c:pt>
                <c:pt idx="64">
                  <c:v>35</c:v>
                </c:pt>
                <c:pt idx="65">
                  <c:v>35</c:v>
                </c:pt>
                <c:pt idx="66">
                  <c:v>35</c:v>
                </c:pt>
                <c:pt idx="67">
                  <c:v>35</c:v>
                </c:pt>
                <c:pt idx="68">
                  <c:v>35</c:v>
                </c:pt>
                <c:pt idx="69">
                  <c:v>35</c:v>
                </c:pt>
                <c:pt idx="70">
                  <c:v>35</c:v>
                </c:pt>
                <c:pt idx="71">
                  <c:v>35</c:v>
                </c:pt>
                <c:pt idx="72">
                  <c:v>35</c:v>
                </c:pt>
                <c:pt idx="73">
                  <c:v>35</c:v>
                </c:pt>
                <c:pt idx="74">
                  <c:v>35</c:v>
                </c:pt>
                <c:pt idx="75">
                  <c:v>35</c:v>
                </c:pt>
                <c:pt idx="76">
                  <c:v>35</c:v>
                </c:pt>
                <c:pt idx="77">
                  <c:v>35</c:v>
                </c:pt>
                <c:pt idx="78">
                  <c:v>35</c:v>
                </c:pt>
                <c:pt idx="79">
                  <c:v>35</c:v>
                </c:pt>
                <c:pt idx="80">
                  <c:v>35</c:v>
                </c:pt>
                <c:pt idx="81">
                  <c:v>35</c:v>
                </c:pt>
                <c:pt idx="82">
                  <c:v>35</c:v>
                </c:pt>
                <c:pt idx="83">
                  <c:v>35</c:v>
                </c:pt>
                <c:pt idx="84">
                  <c:v>35</c:v>
                </c:pt>
                <c:pt idx="85">
                  <c:v>35</c:v>
                </c:pt>
                <c:pt idx="86">
                  <c:v>35</c:v>
                </c:pt>
                <c:pt idx="87">
                  <c:v>35</c:v>
                </c:pt>
                <c:pt idx="88">
                  <c:v>35</c:v>
                </c:pt>
                <c:pt idx="89">
                  <c:v>35</c:v>
                </c:pt>
                <c:pt idx="90">
                  <c:v>35</c:v>
                </c:pt>
                <c:pt idx="91">
                  <c:v>35</c:v>
                </c:pt>
                <c:pt idx="92">
                  <c:v>35</c:v>
                </c:pt>
                <c:pt idx="93">
                  <c:v>35</c:v>
                </c:pt>
                <c:pt idx="94">
                  <c:v>35</c:v>
                </c:pt>
                <c:pt idx="95">
                  <c:v>35</c:v>
                </c:pt>
                <c:pt idx="96">
                  <c:v>35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35</c:v>
                </c:pt>
                <c:pt idx="102">
                  <c:v>35</c:v>
                </c:pt>
                <c:pt idx="103">
                  <c:v>35</c:v>
                </c:pt>
                <c:pt idx="104">
                  <c:v>35</c:v>
                </c:pt>
                <c:pt idx="105">
                  <c:v>35</c:v>
                </c:pt>
                <c:pt idx="106">
                  <c:v>35</c:v>
                </c:pt>
                <c:pt idx="107">
                  <c:v>35</c:v>
                </c:pt>
                <c:pt idx="108">
                  <c:v>35</c:v>
                </c:pt>
                <c:pt idx="109">
                  <c:v>35</c:v>
                </c:pt>
                <c:pt idx="110">
                  <c:v>35</c:v>
                </c:pt>
                <c:pt idx="111">
                  <c:v>35</c:v>
                </c:pt>
                <c:pt idx="112">
                  <c:v>35</c:v>
                </c:pt>
                <c:pt idx="113">
                  <c:v>35</c:v>
                </c:pt>
                <c:pt idx="114">
                  <c:v>35</c:v>
                </c:pt>
                <c:pt idx="115">
                  <c:v>35</c:v>
                </c:pt>
                <c:pt idx="116">
                  <c:v>35</c:v>
                </c:pt>
                <c:pt idx="117">
                  <c:v>35</c:v>
                </c:pt>
                <c:pt idx="118">
                  <c:v>35</c:v>
                </c:pt>
                <c:pt idx="119">
                  <c:v>35</c:v>
                </c:pt>
                <c:pt idx="120">
                  <c:v>35</c:v>
                </c:pt>
                <c:pt idx="121">
                  <c:v>35</c:v>
                </c:pt>
                <c:pt idx="122">
                  <c:v>35</c:v>
                </c:pt>
                <c:pt idx="123">
                  <c:v>35</c:v>
                </c:pt>
                <c:pt idx="124">
                  <c:v>35</c:v>
                </c:pt>
                <c:pt idx="125">
                  <c:v>35</c:v>
                </c:pt>
                <c:pt idx="126">
                  <c:v>35</c:v>
                </c:pt>
                <c:pt idx="127">
                  <c:v>35</c:v>
                </c:pt>
                <c:pt idx="128">
                  <c:v>35</c:v>
                </c:pt>
                <c:pt idx="129">
                  <c:v>35</c:v>
                </c:pt>
                <c:pt idx="130">
                  <c:v>35</c:v>
                </c:pt>
                <c:pt idx="131">
                  <c:v>35</c:v>
                </c:pt>
                <c:pt idx="132">
                  <c:v>35</c:v>
                </c:pt>
                <c:pt idx="133">
                  <c:v>35</c:v>
                </c:pt>
                <c:pt idx="134">
                  <c:v>35</c:v>
                </c:pt>
                <c:pt idx="135">
                  <c:v>35</c:v>
                </c:pt>
                <c:pt idx="136">
                  <c:v>35</c:v>
                </c:pt>
                <c:pt idx="137">
                  <c:v>35</c:v>
                </c:pt>
                <c:pt idx="138">
                  <c:v>35</c:v>
                </c:pt>
                <c:pt idx="139">
                  <c:v>35</c:v>
                </c:pt>
                <c:pt idx="140">
                  <c:v>35</c:v>
                </c:pt>
                <c:pt idx="141">
                  <c:v>35</c:v>
                </c:pt>
                <c:pt idx="142">
                  <c:v>35</c:v>
                </c:pt>
                <c:pt idx="143">
                  <c:v>35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35</c:v>
                </c:pt>
                <c:pt idx="151">
                  <c:v>35</c:v>
                </c:pt>
                <c:pt idx="152">
                  <c:v>35</c:v>
                </c:pt>
                <c:pt idx="153">
                  <c:v>35</c:v>
                </c:pt>
                <c:pt idx="154">
                  <c:v>35</c:v>
                </c:pt>
                <c:pt idx="155">
                  <c:v>35</c:v>
                </c:pt>
                <c:pt idx="156">
                  <c:v>35</c:v>
                </c:pt>
                <c:pt idx="157">
                  <c:v>35</c:v>
                </c:pt>
                <c:pt idx="158">
                  <c:v>35</c:v>
                </c:pt>
                <c:pt idx="159">
                  <c:v>35</c:v>
                </c:pt>
                <c:pt idx="160">
                  <c:v>35</c:v>
                </c:pt>
                <c:pt idx="161">
                  <c:v>35</c:v>
                </c:pt>
                <c:pt idx="162">
                  <c:v>35</c:v>
                </c:pt>
                <c:pt idx="163">
                  <c:v>35</c:v>
                </c:pt>
                <c:pt idx="164">
                  <c:v>35</c:v>
                </c:pt>
                <c:pt idx="165">
                  <c:v>35</c:v>
                </c:pt>
                <c:pt idx="166">
                  <c:v>35</c:v>
                </c:pt>
                <c:pt idx="167">
                  <c:v>35</c:v>
                </c:pt>
                <c:pt idx="168">
                  <c:v>35</c:v>
                </c:pt>
                <c:pt idx="169">
                  <c:v>35</c:v>
                </c:pt>
                <c:pt idx="170">
                  <c:v>35</c:v>
                </c:pt>
                <c:pt idx="171">
                  <c:v>35</c:v>
                </c:pt>
                <c:pt idx="172">
                  <c:v>35</c:v>
                </c:pt>
                <c:pt idx="173">
                  <c:v>35</c:v>
                </c:pt>
                <c:pt idx="174">
                  <c:v>35</c:v>
                </c:pt>
                <c:pt idx="175">
                  <c:v>35</c:v>
                </c:pt>
                <c:pt idx="176">
                  <c:v>35</c:v>
                </c:pt>
                <c:pt idx="177">
                  <c:v>35</c:v>
                </c:pt>
                <c:pt idx="178">
                  <c:v>35</c:v>
                </c:pt>
                <c:pt idx="179">
                  <c:v>35</c:v>
                </c:pt>
                <c:pt idx="180">
                  <c:v>35</c:v>
                </c:pt>
                <c:pt idx="181">
                  <c:v>35</c:v>
                </c:pt>
                <c:pt idx="182">
                  <c:v>35</c:v>
                </c:pt>
                <c:pt idx="183">
                  <c:v>35</c:v>
                </c:pt>
                <c:pt idx="184">
                  <c:v>35</c:v>
                </c:pt>
                <c:pt idx="185">
                  <c:v>35</c:v>
                </c:pt>
                <c:pt idx="186">
                  <c:v>35</c:v>
                </c:pt>
                <c:pt idx="187">
                  <c:v>35</c:v>
                </c:pt>
                <c:pt idx="188">
                  <c:v>35</c:v>
                </c:pt>
                <c:pt idx="189">
                  <c:v>35</c:v>
                </c:pt>
                <c:pt idx="190">
                  <c:v>35</c:v>
                </c:pt>
                <c:pt idx="191">
                  <c:v>35</c:v>
                </c:pt>
                <c:pt idx="192">
                  <c:v>35</c:v>
                </c:pt>
                <c:pt idx="193">
                  <c:v>35</c:v>
                </c:pt>
                <c:pt idx="194">
                  <c:v>35</c:v>
                </c:pt>
                <c:pt idx="195">
                  <c:v>35</c:v>
                </c:pt>
                <c:pt idx="196">
                  <c:v>35</c:v>
                </c:pt>
                <c:pt idx="197">
                  <c:v>35</c:v>
                </c:pt>
                <c:pt idx="198">
                  <c:v>35</c:v>
                </c:pt>
                <c:pt idx="199">
                  <c:v>35</c:v>
                </c:pt>
                <c:pt idx="200">
                  <c:v>35</c:v>
                </c:pt>
                <c:pt idx="201">
                  <c:v>35</c:v>
                </c:pt>
                <c:pt idx="202">
                  <c:v>35</c:v>
                </c:pt>
                <c:pt idx="203">
                  <c:v>35</c:v>
                </c:pt>
                <c:pt idx="204">
                  <c:v>35</c:v>
                </c:pt>
                <c:pt idx="205">
                  <c:v>35</c:v>
                </c:pt>
                <c:pt idx="206">
                  <c:v>35</c:v>
                </c:pt>
                <c:pt idx="207">
                  <c:v>35</c:v>
                </c:pt>
                <c:pt idx="208">
                  <c:v>35</c:v>
                </c:pt>
                <c:pt idx="209">
                  <c:v>35</c:v>
                </c:pt>
                <c:pt idx="210">
                  <c:v>35</c:v>
                </c:pt>
                <c:pt idx="211">
                  <c:v>35</c:v>
                </c:pt>
                <c:pt idx="212">
                  <c:v>35</c:v>
                </c:pt>
                <c:pt idx="213">
                  <c:v>35</c:v>
                </c:pt>
                <c:pt idx="214">
                  <c:v>35</c:v>
                </c:pt>
                <c:pt idx="215">
                  <c:v>35</c:v>
                </c:pt>
                <c:pt idx="216">
                  <c:v>35</c:v>
                </c:pt>
                <c:pt idx="217">
                  <c:v>35</c:v>
                </c:pt>
                <c:pt idx="218">
                  <c:v>35</c:v>
                </c:pt>
                <c:pt idx="219">
                  <c:v>35</c:v>
                </c:pt>
                <c:pt idx="220">
                  <c:v>35</c:v>
                </c:pt>
                <c:pt idx="221">
                  <c:v>35</c:v>
                </c:pt>
                <c:pt idx="222">
                  <c:v>35</c:v>
                </c:pt>
                <c:pt idx="223">
                  <c:v>35</c:v>
                </c:pt>
                <c:pt idx="224">
                  <c:v>35</c:v>
                </c:pt>
                <c:pt idx="225">
                  <c:v>35</c:v>
                </c:pt>
                <c:pt idx="226">
                  <c:v>35</c:v>
                </c:pt>
                <c:pt idx="227">
                  <c:v>35</c:v>
                </c:pt>
                <c:pt idx="228">
                  <c:v>35</c:v>
                </c:pt>
                <c:pt idx="229">
                  <c:v>35</c:v>
                </c:pt>
                <c:pt idx="230">
                  <c:v>35</c:v>
                </c:pt>
                <c:pt idx="231">
                  <c:v>35</c:v>
                </c:pt>
                <c:pt idx="232">
                  <c:v>35</c:v>
                </c:pt>
                <c:pt idx="233">
                  <c:v>35</c:v>
                </c:pt>
                <c:pt idx="234">
                  <c:v>35</c:v>
                </c:pt>
                <c:pt idx="235">
                  <c:v>35</c:v>
                </c:pt>
                <c:pt idx="236">
                  <c:v>35</c:v>
                </c:pt>
                <c:pt idx="237">
                  <c:v>35</c:v>
                </c:pt>
                <c:pt idx="238">
                  <c:v>35</c:v>
                </c:pt>
                <c:pt idx="239">
                  <c:v>35</c:v>
                </c:pt>
                <c:pt idx="240">
                  <c:v>35</c:v>
                </c:pt>
                <c:pt idx="241">
                  <c:v>35</c:v>
                </c:pt>
                <c:pt idx="242">
                  <c:v>35</c:v>
                </c:pt>
                <c:pt idx="243">
                  <c:v>35</c:v>
                </c:pt>
                <c:pt idx="244">
                  <c:v>35</c:v>
                </c:pt>
                <c:pt idx="245">
                  <c:v>35</c:v>
                </c:pt>
                <c:pt idx="246">
                  <c:v>35</c:v>
                </c:pt>
                <c:pt idx="247">
                  <c:v>35</c:v>
                </c:pt>
                <c:pt idx="248">
                  <c:v>35</c:v>
                </c:pt>
                <c:pt idx="249">
                  <c:v>35</c:v>
                </c:pt>
                <c:pt idx="250">
                  <c:v>35</c:v>
                </c:pt>
                <c:pt idx="251">
                  <c:v>35</c:v>
                </c:pt>
                <c:pt idx="252">
                  <c:v>35</c:v>
                </c:pt>
                <c:pt idx="253">
                  <c:v>35</c:v>
                </c:pt>
                <c:pt idx="254">
                  <c:v>35</c:v>
                </c:pt>
                <c:pt idx="255">
                  <c:v>35</c:v>
                </c:pt>
                <c:pt idx="256">
                  <c:v>35</c:v>
                </c:pt>
                <c:pt idx="257">
                  <c:v>35</c:v>
                </c:pt>
                <c:pt idx="258">
                  <c:v>35</c:v>
                </c:pt>
                <c:pt idx="259">
                  <c:v>35</c:v>
                </c:pt>
                <c:pt idx="260">
                  <c:v>35</c:v>
                </c:pt>
                <c:pt idx="261">
                  <c:v>35</c:v>
                </c:pt>
                <c:pt idx="262">
                  <c:v>35</c:v>
                </c:pt>
                <c:pt idx="263">
                  <c:v>35</c:v>
                </c:pt>
                <c:pt idx="264">
                  <c:v>35</c:v>
                </c:pt>
                <c:pt idx="265">
                  <c:v>35</c:v>
                </c:pt>
                <c:pt idx="266">
                  <c:v>35</c:v>
                </c:pt>
                <c:pt idx="267">
                  <c:v>35</c:v>
                </c:pt>
                <c:pt idx="268">
                  <c:v>35</c:v>
                </c:pt>
                <c:pt idx="269">
                  <c:v>35</c:v>
                </c:pt>
                <c:pt idx="270">
                  <c:v>35</c:v>
                </c:pt>
                <c:pt idx="271">
                  <c:v>35</c:v>
                </c:pt>
                <c:pt idx="272">
                  <c:v>35</c:v>
                </c:pt>
                <c:pt idx="273">
                  <c:v>35</c:v>
                </c:pt>
                <c:pt idx="274">
                  <c:v>35</c:v>
                </c:pt>
                <c:pt idx="275">
                  <c:v>35</c:v>
                </c:pt>
                <c:pt idx="276">
                  <c:v>35</c:v>
                </c:pt>
                <c:pt idx="277">
                  <c:v>35</c:v>
                </c:pt>
                <c:pt idx="278">
                  <c:v>35</c:v>
                </c:pt>
                <c:pt idx="279">
                  <c:v>35</c:v>
                </c:pt>
                <c:pt idx="280">
                  <c:v>35</c:v>
                </c:pt>
                <c:pt idx="281">
                  <c:v>35</c:v>
                </c:pt>
                <c:pt idx="282">
                  <c:v>35</c:v>
                </c:pt>
                <c:pt idx="283">
                  <c:v>35</c:v>
                </c:pt>
                <c:pt idx="284">
                  <c:v>35</c:v>
                </c:pt>
                <c:pt idx="285">
                  <c:v>35</c:v>
                </c:pt>
                <c:pt idx="286">
                  <c:v>35</c:v>
                </c:pt>
                <c:pt idx="287">
                  <c:v>35</c:v>
                </c:pt>
                <c:pt idx="288">
                  <c:v>35</c:v>
                </c:pt>
                <c:pt idx="289">
                  <c:v>35</c:v>
                </c:pt>
                <c:pt idx="290">
                  <c:v>35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35</c:v>
                </c:pt>
                <c:pt idx="295">
                  <c:v>35</c:v>
                </c:pt>
                <c:pt idx="296">
                  <c:v>35</c:v>
                </c:pt>
                <c:pt idx="297">
                  <c:v>35</c:v>
                </c:pt>
                <c:pt idx="298">
                  <c:v>35</c:v>
                </c:pt>
                <c:pt idx="299">
                  <c:v>35</c:v>
                </c:pt>
                <c:pt idx="300">
                  <c:v>35</c:v>
                </c:pt>
                <c:pt idx="301">
                  <c:v>35</c:v>
                </c:pt>
                <c:pt idx="302">
                  <c:v>35</c:v>
                </c:pt>
                <c:pt idx="303">
                  <c:v>35</c:v>
                </c:pt>
                <c:pt idx="304">
                  <c:v>35</c:v>
                </c:pt>
                <c:pt idx="305">
                  <c:v>35</c:v>
                </c:pt>
                <c:pt idx="306">
                  <c:v>35</c:v>
                </c:pt>
                <c:pt idx="307">
                  <c:v>35</c:v>
                </c:pt>
                <c:pt idx="308">
                  <c:v>35</c:v>
                </c:pt>
                <c:pt idx="309">
                  <c:v>35</c:v>
                </c:pt>
                <c:pt idx="310">
                  <c:v>35</c:v>
                </c:pt>
                <c:pt idx="311">
                  <c:v>35</c:v>
                </c:pt>
                <c:pt idx="312">
                  <c:v>35</c:v>
                </c:pt>
                <c:pt idx="313">
                  <c:v>35</c:v>
                </c:pt>
                <c:pt idx="314">
                  <c:v>35</c:v>
                </c:pt>
                <c:pt idx="315">
                  <c:v>35</c:v>
                </c:pt>
                <c:pt idx="316">
                  <c:v>35</c:v>
                </c:pt>
                <c:pt idx="317">
                  <c:v>35</c:v>
                </c:pt>
                <c:pt idx="318">
                  <c:v>35</c:v>
                </c:pt>
                <c:pt idx="319">
                  <c:v>35</c:v>
                </c:pt>
                <c:pt idx="320">
                  <c:v>35</c:v>
                </c:pt>
                <c:pt idx="321">
                  <c:v>35</c:v>
                </c:pt>
                <c:pt idx="322">
                  <c:v>35</c:v>
                </c:pt>
                <c:pt idx="323">
                  <c:v>35</c:v>
                </c:pt>
                <c:pt idx="324">
                  <c:v>35</c:v>
                </c:pt>
                <c:pt idx="325">
                  <c:v>35</c:v>
                </c:pt>
                <c:pt idx="326">
                  <c:v>35</c:v>
                </c:pt>
                <c:pt idx="327">
                  <c:v>35</c:v>
                </c:pt>
                <c:pt idx="328">
                  <c:v>35</c:v>
                </c:pt>
                <c:pt idx="329">
                  <c:v>35</c:v>
                </c:pt>
                <c:pt idx="330">
                  <c:v>35</c:v>
                </c:pt>
                <c:pt idx="331">
                  <c:v>35</c:v>
                </c:pt>
                <c:pt idx="332">
                  <c:v>35</c:v>
                </c:pt>
                <c:pt idx="333">
                  <c:v>35</c:v>
                </c:pt>
                <c:pt idx="334">
                  <c:v>35</c:v>
                </c:pt>
                <c:pt idx="335">
                  <c:v>35</c:v>
                </c:pt>
                <c:pt idx="336">
                  <c:v>35</c:v>
                </c:pt>
                <c:pt idx="337">
                  <c:v>35</c:v>
                </c:pt>
                <c:pt idx="338">
                  <c:v>35</c:v>
                </c:pt>
                <c:pt idx="339">
                  <c:v>35</c:v>
                </c:pt>
                <c:pt idx="340">
                  <c:v>35</c:v>
                </c:pt>
                <c:pt idx="341">
                  <c:v>35</c:v>
                </c:pt>
                <c:pt idx="342">
                  <c:v>35</c:v>
                </c:pt>
                <c:pt idx="343">
                  <c:v>35</c:v>
                </c:pt>
                <c:pt idx="344">
                  <c:v>35</c:v>
                </c:pt>
                <c:pt idx="345">
                  <c:v>35</c:v>
                </c:pt>
                <c:pt idx="346">
                  <c:v>35</c:v>
                </c:pt>
                <c:pt idx="347">
                  <c:v>35</c:v>
                </c:pt>
                <c:pt idx="348">
                  <c:v>35</c:v>
                </c:pt>
                <c:pt idx="349">
                  <c:v>35</c:v>
                </c:pt>
                <c:pt idx="350">
                  <c:v>35</c:v>
                </c:pt>
                <c:pt idx="351">
                  <c:v>35</c:v>
                </c:pt>
                <c:pt idx="352">
                  <c:v>35</c:v>
                </c:pt>
                <c:pt idx="353">
                  <c:v>35</c:v>
                </c:pt>
                <c:pt idx="354">
                  <c:v>35</c:v>
                </c:pt>
                <c:pt idx="355">
                  <c:v>35</c:v>
                </c:pt>
                <c:pt idx="356">
                  <c:v>35</c:v>
                </c:pt>
                <c:pt idx="357">
                  <c:v>35</c:v>
                </c:pt>
                <c:pt idx="358">
                  <c:v>35</c:v>
                </c:pt>
                <c:pt idx="35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0-4FEF-BEAB-B46584282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8326543"/>
        <c:axId val="988333615"/>
      </c:lineChart>
      <c:catAx>
        <c:axId val="988326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Years</a:t>
                </a:r>
              </a:p>
            </c:rich>
          </c:tx>
          <c:layout>
            <c:manualLayout>
              <c:xMode val="edge"/>
              <c:yMode val="edge"/>
              <c:x val="0.48457002503240981"/>
              <c:y val="0.945380956591789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333615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98833361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326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581025</xdr:colOff>
      <xdr:row>28</xdr:row>
      <xdr:rowOff>142875</xdr:rowOff>
    </xdr:from>
    <xdr:to>
      <xdr:col>19</xdr:col>
      <xdr:colOff>526598</xdr:colOff>
      <xdr:row>41</xdr:row>
      <xdr:rowOff>166779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190625" y="5476875"/>
          <a:ext cx="10918373" cy="2500404"/>
          <a:chOff x="653144" y="11457216"/>
          <a:chExt cx="10918373" cy="2500404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GrpSpPr/>
        </xdr:nvGrpSpPr>
        <xdr:grpSpPr>
          <a:xfrm>
            <a:off x="653144" y="11457216"/>
            <a:ext cx="10918373" cy="2500404"/>
            <a:chOff x="748394" y="12232821"/>
            <a:chExt cx="10918373" cy="2500404"/>
          </a:xfrm>
        </xdr:grpSpPr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SpPr txBox="1"/>
          </xdr:nvSpPr>
          <xdr:spPr>
            <a:xfrm>
              <a:off x="748394" y="13311868"/>
              <a:ext cx="91440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100">
                  <a:solidFill>
                    <a:srgbClr val="00B0F0"/>
                  </a:solidFill>
                </a:rPr>
                <a:t>PACIFIC</a:t>
              </a:r>
            </a:p>
          </xdr:txBody>
        </xdr:sp>
        <xdr:grpSp>
          <xdr:nvGrpSpPr>
            <xdr:cNvPr id="9" name="Group 8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GrpSpPr/>
          </xdr:nvGrpSpPr>
          <xdr:grpSpPr>
            <a:xfrm>
              <a:off x="789214" y="12232821"/>
              <a:ext cx="10877553" cy="2500404"/>
              <a:chOff x="789214" y="12232821"/>
              <a:chExt cx="10877553" cy="2500404"/>
            </a:xfrm>
          </xdr:grpSpPr>
          <xdr:cxnSp macro="">
            <xdr:nvCxnSpPr>
              <xdr:cNvPr id="10" name="Straight Connector 9">
                <a:extLst>
                  <a:ext uri="{FF2B5EF4-FFF2-40B4-BE49-F238E27FC236}">
                    <a16:creationId xmlns:a16="http://schemas.microsoft.com/office/drawing/2014/main" id="{00000000-0008-0000-0100-00000A000000}"/>
                  </a:ext>
                </a:extLst>
              </xdr:cNvPr>
              <xdr:cNvCxnSpPr/>
            </xdr:nvCxnSpPr>
            <xdr:spPr>
              <a:xfrm>
                <a:off x="10534649" y="13827579"/>
                <a:ext cx="1005840" cy="0"/>
              </a:xfrm>
              <a:prstGeom prst="line">
                <a:avLst/>
              </a:prstGeom>
              <a:ln w="28575">
                <a:solidFill>
                  <a:srgbClr val="00B0F0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grpSp>
            <xdr:nvGrpSpPr>
              <xdr:cNvPr id="11" name="Group 10">
                <a:extLst>
                  <a:ext uri="{FF2B5EF4-FFF2-40B4-BE49-F238E27FC236}">
                    <a16:creationId xmlns:a16="http://schemas.microsoft.com/office/drawing/2014/main" id="{00000000-0008-0000-0100-00000B000000}"/>
                  </a:ext>
                </a:extLst>
              </xdr:cNvPr>
              <xdr:cNvGrpSpPr/>
            </xdr:nvGrpSpPr>
            <xdr:grpSpPr>
              <a:xfrm>
                <a:off x="789214" y="12232821"/>
                <a:ext cx="10877553" cy="2500404"/>
                <a:chOff x="789214" y="12232821"/>
                <a:chExt cx="10877553" cy="2500404"/>
              </a:xfrm>
            </xdr:grpSpPr>
            <xdr:sp macro="" textlink="">
              <xdr:nvSpPr>
                <xdr:cNvPr id="12" name="Freeform 11">
                  <a:extLst>
                    <a:ext uri="{FF2B5EF4-FFF2-40B4-BE49-F238E27FC236}">
                      <a16:creationId xmlns:a16="http://schemas.microsoft.com/office/drawing/2014/main" id="{00000000-0008-0000-0100-00000C000000}"/>
                    </a:ext>
                  </a:extLst>
                </xdr:cNvPr>
                <xdr:cNvSpPr/>
              </xdr:nvSpPr>
              <xdr:spPr>
                <a:xfrm>
                  <a:off x="802821" y="12232821"/>
                  <a:ext cx="10749643" cy="1893261"/>
                </a:xfrm>
                <a:custGeom>
                  <a:avLst/>
                  <a:gdLst>
                    <a:gd name="connsiteX0" fmla="*/ 0 w 10749643"/>
                    <a:gd name="connsiteY0" fmla="*/ 1279072 h 1893261"/>
                    <a:gd name="connsiteX1" fmla="*/ 789215 w 10749643"/>
                    <a:gd name="connsiteY1" fmla="*/ 1292679 h 1893261"/>
                    <a:gd name="connsiteX2" fmla="*/ 857250 w 10749643"/>
                    <a:gd name="connsiteY2" fmla="*/ 1265465 h 1893261"/>
                    <a:gd name="connsiteX3" fmla="*/ 993322 w 10749643"/>
                    <a:gd name="connsiteY3" fmla="*/ 1156608 h 1893261"/>
                    <a:gd name="connsiteX4" fmla="*/ 1074965 w 10749643"/>
                    <a:gd name="connsiteY4" fmla="*/ 1074965 h 1893261"/>
                    <a:gd name="connsiteX5" fmla="*/ 1115786 w 10749643"/>
                    <a:gd name="connsiteY5" fmla="*/ 1047750 h 1893261"/>
                    <a:gd name="connsiteX6" fmla="*/ 1673679 w 10749643"/>
                    <a:gd name="connsiteY6" fmla="*/ 1034143 h 1893261"/>
                    <a:gd name="connsiteX7" fmla="*/ 1755322 w 10749643"/>
                    <a:gd name="connsiteY7" fmla="*/ 952500 h 1893261"/>
                    <a:gd name="connsiteX8" fmla="*/ 1782536 w 10749643"/>
                    <a:gd name="connsiteY8" fmla="*/ 911679 h 1893261"/>
                    <a:gd name="connsiteX9" fmla="*/ 1864179 w 10749643"/>
                    <a:gd name="connsiteY9" fmla="*/ 898072 h 1893261"/>
                    <a:gd name="connsiteX10" fmla="*/ 1918608 w 10749643"/>
                    <a:gd name="connsiteY10" fmla="*/ 884465 h 1893261"/>
                    <a:gd name="connsiteX11" fmla="*/ 1959429 w 10749643"/>
                    <a:gd name="connsiteY11" fmla="*/ 870858 h 1893261"/>
                    <a:gd name="connsiteX12" fmla="*/ 2054679 w 10749643"/>
                    <a:gd name="connsiteY12" fmla="*/ 857250 h 1893261"/>
                    <a:gd name="connsiteX13" fmla="*/ 2177143 w 10749643"/>
                    <a:gd name="connsiteY13" fmla="*/ 802822 h 1893261"/>
                    <a:gd name="connsiteX14" fmla="*/ 2245179 w 10749643"/>
                    <a:gd name="connsiteY14" fmla="*/ 762000 h 1893261"/>
                    <a:gd name="connsiteX15" fmla="*/ 2313215 w 10749643"/>
                    <a:gd name="connsiteY15" fmla="*/ 734786 h 1893261"/>
                    <a:gd name="connsiteX16" fmla="*/ 2408465 w 10749643"/>
                    <a:gd name="connsiteY16" fmla="*/ 666750 h 1893261"/>
                    <a:gd name="connsiteX17" fmla="*/ 2449286 w 10749643"/>
                    <a:gd name="connsiteY17" fmla="*/ 639536 h 1893261"/>
                    <a:gd name="connsiteX18" fmla="*/ 2735036 w 10749643"/>
                    <a:gd name="connsiteY18" fmla="*/ 612322 h 1893261"/>
                    <a:gd name="connsiteX19" fmla="*/ 2979965 w 10749643"/>
                    <a:gd name="connsiteY19" fmla="*/ 585108 h 1893261"/>
                    <a:gd name="connsiteX20" fmla="*/ 3170465 w 10749643"/>
                    <a:gd name="connsiteY20" fmla="*/ 544286 h 1893261"/>
                    <a:gd name="connsiteX21" fmla="*/ 3551465 w 10749643"/>
                    <a:gd name="connsiteY21" fmla="*/ 517072 h 1893261"/>
                    <a:gd name="connsiteX22" fmla="*/ 3660322 w 10749643"/>
                    <a:gd name="connsiteY22" fmla="*/ 489858 h 1893261"/>
                    <a:gd name="connsiteX23" fmla="*/ 3810000 w 10749643"/>
                    <a:gd name="connsiteY23" fmla="*/ 449036 h 1893261"/>
                    <a:gd name="connsiteX24" fmla="*/ 3918858 w 10749643"/>
                    <a:gd name="connsiteY24" fmla="*/ 435429 h 1893261"/>
                    <a:gd name="connsiteX25" fmla="*/ 4286250 w 10749643"/>
                    <a:gd name="connsiteY25" fmla="*/ 408215 h 1893261"/>
                    <a:gd name="connsiteX26" fmla="*/ 4367893 w 10749643"/>
                    <a:gd name="connsiteY26" fmla="*/ 353786 h 1893261"/>
                    <a:gd name="connsiteX27" fmla="*/ 4422322 w 10749643"/>
                    <a:gd name="connsiteY27" fmla="*/ 340179 h 1893261"/>
                    <a:gd name="connsiteX28" fmla="*/ 4572000 w 10749643"/>
                    <a:gd name="connsiteY28" fmla="*/ 285750 h 1893261"/>
                    <a:gd name="connsiteX29" fmla="*/ 4653643 w 10749643"/>
                    <a:gd name="connsiteY29" fmla="*/ 231322 h 1893261"/>
                    <a:gd name="connsiteX30" fmla="*/ 4816929 w 10749643"/>
                    <a:gd name="connsiteY30" fmla="*/ 190500 h 1893261"/>
                    <a:gd name="connsiteX31" fmla="*/ 5238750 w 10749643"/>
                    <a:gd name="connsiteY31" fmla="*/ 204108 h 1893261"/>
                    <a:gd name="connsiteX32" fmla="*/ 5388429 w 10749643"/>
                    <a:gd name="connsiteY32" fmla="*/ 217715 h 1893261"/>
                    <a:gd name="connsiteX33" fmla="*/ 5619750 w 10749643"/>
                    <a:gd name="connsiteY33" fmla="*/ 231322 h 1893261"/>
                    <a:gd name="connsiteX34" fmla="*/ 5715000 w 10749643"/>
                    <a:gd name="connsiteY34" fmla="*/ 285750 h 1893261"/>
                    <a:gd name="connsiteX35" fmla="*/ 5810250 w 10749643"/>
                    <a:gd name="connsiteY35" fmla="*/ 299358 h 1893261"/>
                    <a:gd name="connsiteX36" fmla="*/ 6136822 w 10749643"/>
                    <a:gd name="connsiteY36" fmla="*/ 285750 h 1893261"/>
                    <a:gd name="connsiteX37" fmla="*/ 6177643 w 10749643"/>
                    <a:gd name="connsiteY37" fmla="*/ 204108 h 1893261"/>
                    <a:gd name="connsiteX38" fmla="*/ 6286500 w 10749643"/>
                    <a:gd name="connsiteY38" fmla="*/ 81643 h 1893261"/>
                    <a:gd name="connsiteX39" fmla="*/ 6395358 w 10749643"/>
                    <a:gd name="connsiteY39" fmla="*/ 0 h 1893261"/>
                    <a:gd name="connsiteX40" fmla="*/ 6436179 w 10749643"/>
                    <a:gd name="connsiteY40" fmla="*/ 13608 h 1893261"/>
                    <a:gd name="connsiteX41" fmla="*/ 6504215 w 10749643"/>
                    <a:gd name="connsiteY41" fmla="*/ 27215 h 1893261"/>
                    <a:gd name="connsiteX42" fmla="*/ 6517822 w 10749643"/>
                    <a:gd name="connsiteY42" fmla="*/ 68036 h 1893261"/>
                    <a:gd name="connsiteX43" fmla="*/ 6640286 w 10749643"/>
                    <a:gd name="connsiteY43" fmla="*/ 108858 h 1893261"/>
                    <a:gd name="connsiteX44" fmla="*/ 6735536 w 10749643"/>
                    <a:gd name="connsiteY44" fmla="*/ 149679 h 1893261"/>
                    <a:gd name="connsiteX45" fmla="*/ 6844393 w 10749643"/>
                    <a:gd name="connsiteY45" fmla="*/ 204108 h 1893261"/>
                    <a:gd name="connsiteX46" fmla="*/ 7252608 w 10749643"/>
                    <a:gd name="connsiteY46" fmla="*/ 231322 h 1893261"/>
                    <a:gd name="connsiteX47" fmla="*/ 7375072 w 10749643"/>
                    <a:gd name="connsiteY47" fmla="*/ 272143 h 1893261"/>
                    <a:gd name="connsiteX48" fmla="*/ 7620000 w 10749643"/>
                    <a:gd name="connsiteY48" fmla="*/ 312965 h 1893261"/>
                    <a:gd name="connsiteX49" fmla="*/ 7878536 w 10749643"/>
                    <a:gd name="connsiteY49" fmla="*/ 258536 h 1893261"/>
                    <a:gd name="connsiteX50" fmla="*/ 7919358 w 10749643"/>
                    <a:gd name="connsiteY50" fmla="*/ 231322 h 1893261"/>
                    <a:gd name="connsiteX51" fmla="*/ 8096250 w 10749643"/>
                    <a:gd name="connsiteY51" fmla="*/ 244929 h 1893261"/>
                    <a:gd name="connsiteX52" fmla="*/ 8164286 w 10749643"/>
                    <a:gd name="connsiteY52" fmla="*/ 312965 h 1893261"/>
                    <a:gd name="connsiteX53" fmla="*/ 8259536 w 10749643"/>
                    <a:gd name="connsiteY53" fmla="*/ 381000 h 1893261"/>
                    <a:gd name="connsiteX54" fmla="*/ 8313965 w 10749643"/>
                    <a:gd name="connsiteY54" fmla="*/ 489858 h 1893261"/>
                    <a:gd name="connsiteX55" fmla="*/ 8368393 w 10749643"/>
                    <a:gd name="connsiteY55" fmla="*/ 571500 h 1893261"/>
                    <a:gd name="connsiteX56" fmla="*/ 8382000 w 10749643"/>
                    <a:gd name="connsiteY56" fmla="*/ 625929 h 1893261"/>
                    <a:gd name="connsiteX57" fmla="*/ 8463643 w 10749643"/>
                    <a:gd name="connsiteY57" fmla="*/ 680358 h 1893261"/>
                    <a:gd name="connsiteX58" fmla="*/ 8531679 w 10749643"/>
                    <a:gd name="connsiteY58" fmla="*/ 748393 h 1893261"/>
                    <a:gd name="connsiteX59" fmla="*/ 8586108 w 10749643"/>
                    <a:gd name="connsiteY59" fmla="*/ 816429 h 1893261"/>
                    <a:gd name="connsiteX60" fmla="*/ 8599715 w 10749643"/>
                    <a:gd name="connsiteY60" fmla="*/ 857250 h 1893261"/>
                    <a:gd name="connsiteX61" fmla="*/ 8654143 w 10749643"/>
                    <a:gd name="connsiteY61" fmla="*/ 952500 h 1893261"/>
                    <a:gd name="connsiteX62" fmla="*/ 8722179 w 10749643"/>
                    <a:gd name="connsiteY62" fmla="*/ 1129393 h 1893261"/>
                    <a:gd name="connsiteX63" fmla="*/ 8749393 w 10749643"/>
                    <a:gd name="connsiteY63" fmla="*/ 1156608 h 1893261"/>
                    <a:gd name="connsiteX64" fmla="*/ 8763000 w 10749643"/>
                    <a:gd name="connsiteY64" fmla="*/ 1211036 h 1893261"/>
                    <a:gd name="connsiteX65" fmla="*/ 8885465 w 10749643"/>
                    <a:gd name="connsiteY65" fmla="*/ 1306286 h 1893261"/>
                    <a:gd name="connsiteX66" fmla="*/ 8926286 w 10749643"/>
                    <a:gd name="connsiteY66" fmla="*/ 1333500 h 1893261"/>
                    <a:gd name="connsiteX67" fmla="*/ 9007929 w 10749643"/>
                    <a:gd name="connsiteY67" fmla="*/ 1347108 h 1893261"/>
                    <a:gd name="connsiteX68" fmla="*/ 9021536 w 10749643"/>
                    <a:gd name="connsiteY68" fmla="*/ 1387929 h 1893261"/>
                    <a:gd name="connsiteX69" fmla="*/ 9075965 w 10749643"/>
                    <a:gd name="connsiteY69" fmla="*/ 1401536 h 1893261"/>
                    <a:gd name="connsiteX70" fmla="*/ 9103179 w 10749643"/>
                    <a:gd name="connsiteY70" fmla="*/ 1442358 h 1893261"/>
                    <a:gd name="connsiteX71" fmla="*/ 9144000 w 10749643"/>
                    <a:gd name="connsiteY71" fmla="*/ 1455965 h 1893261"/>
                    <a:gd name="connsiteX72" fmla="*/ 9470572 w 10749643"/>
                    <a:gd name="connsiteY72" fmla="*/ 1496786 h 1893261"/>
                    <a:gd name="connsiteX73" fmla="*/ 9525000 w 10749643"/>
                    <a:gd name="connsiteY73" fmla="*/ 1510393 h 1893261"/>
                    <a:gd name="connsiteX74" fmla="*/ 9593036 w 10749643"/>
                    <a:gd name="connsiteY74" fmla="*/ 1524000 h 1893261"/>
                    <a:gd name="connsiteX75" fmla="*/ 9633858 w 10749643"/>
                    <a:gd name="connsiteY75" fmla="*/ 1537608 h 1893261"/>
                    <a:gd name="connsiteX76" fmla="*/ 9715500 w 10749643"/>
                    <a:gd name="connsiteY76" fmla="*/ 1592036 h 1893261"/>
                    <a:gd name="connsiteX77" fmla="*/ 9797143 w 10749643"/>
                    <a:gd name="connsiteY77" fmla="*/ 1646465 h 1893261"/>
                    <a:gd name="connsiteX78" fmla="*/ 9837965 w 10749643"/>
                    <a:gd name="connsiteY78" fmla="*/ 1673679 h 1893261"/>
                    <a:gd name="connsiteX79" fmla="*/ 9946822 w 10749643"/>
                    <a:gd name="connsiteY79" fmla="*/ 1700893 h 1893261"/>
                    <a:gd name="connsiteX80" fmla="*/ 10014858 w 10749643"/>
                    <a:gd name="connsiteY80" fmla="*/ 1796143 h 1893261"/>
                    <a:gd name="connsiteX81" fmla="*/ 10042072 w 10749643"/>
                    <a:gd name="connsiteY81" fmla="*/ 1823358 h 1893261"/>
                    <a:gd name="connsiteX82" fmla="*/ 10082893 w 10749643"/>
                    <a:gd name="connsiteY82" fmla="*/ 1850572 h 1893261"/>
                    <a:gd name="connsiteX83" fmla="*/ 10191750 w 10749643"/>
                    <a:gd name="connsiteY83" fmla="*/ 1877786 h 1893261"/>
                    <a:gd name="connsiteX84" fmla="*/ 10232572 w 10749643"/>
                    <a:gd name="connsiteY84" fmla="*/ 1891393 h 1893261"/>
                    <a:gd name="connsiteX85" fmla="*/ 10749643 w 10749643"/>
                    <a:gd name="connsiteY85" fmla="*/ 1891393 h 1893261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  <a:cxn ang="0">
                      <a:pos x="connsiteX9" y="connsiteY9"/>
                    </a:cxn>
                    <a:cxn ang="0">
                      <a:pos x="connsiteX10" y="connsiteY10"/>
                    </a:cxn>
                    <a:cxn ang="0">
                      <a:pos x="connsiteX11" y="connsiteY11"/>
                    </a:cxn>
                    <a:cxn ang="0">
                      <a:pos x="connsiteX12" y="connsiteY12"/>
                    </a:cxn>
                    <a:cxn ang="0">
                      <a:pos x="connsiteX13" y="connsiteY13"/>
                    </a:cxn>
                    <a:cxn ang="0">
                      <a:pos x="connsiteX14" y="connsiteY14"/>
                    </a:cxn>
                    <a:cxn ang="0">
                      <a:pos x="connsiteX15" y="connsiteY15"/>
                    </a:cxn>
                    <a:cxn ang="0">
                      <a:pos x="connsiteX16" y="connsiteY16"/>
                    </a:cxn>
                    <a:cxn ang="0">
                      <a:pos x="connsiteX17" y="connsiteY17"/>
                    </a:cxn>
                    <a:cxn ang="0">
                      <a:pos x="connsiteX18" y="connsiteY18"/>
                    </a:cxn>
                    <a:cxn ang="0">
                      <a:pos x="connsiteX19" y="connsiteY19"/>
                    </a:cxn>
                    <a:cxn ang="0">
                      <a:pos x="connsiteX20" y="connsiteY20"/>
                    </a:cxn>
                    <a:cxn ang="0">
                      <a:pos x="connsiteX21" y="connsiteY21"/>
                    </a:cxn>
                    <a:cxn ang="0">
                      <a:pos x="connsiteX22" y="connsiteY22"/>
                    </a:cxn>
                    <a:cxn ang="0">
                      <a:pos x="connsiteX23" y="connsiteY23"/>
                    </a:cxn>
                    <a:cxn ang="0">
                      <a:pos x="connsiteX24" y="connsiteY24"/>
                    </a:cxn>
                    <a:cxn ang="0">
                      <a:pos x="connsiteX25" y="connsiteY25"/>
                    </a:cxn>
                    <a:cxn ang="0">
                      <a:pos x="connsiteX26" y="connsiteY26"/>
                    </a:cxn>
                    <a:cxn ang="0">
                      <a:pos x="connsiteX27" y="connsiteY27"/>
                    </a:cxn>
                    <a:cxn ang="0">
                      <a:pos x="connsiteX28" y="connsiteY28"/>
                    </a:cxn>
                    <a:cxn ang="0">
                      <a:pos x="connsiteX29" y="connsiteY29"/>
                    </a:cxn>
                    <a:cxn ang="0">
                      <a:pos x="connsiteX30" y="connsiteY30"/>
                    </a:cxn>
                    <a:cxn ang="0">
                      <a:pos x="connsiteX31" y="connsiteY31"/>
                    </a:cxn>
                    <a:cxn ang="0">
                      <a:pos x="connsiteX32" y="connsiteY32"/>
                    </a:cxn>
                    <a:cxn ang="0">
                      <a:pos x="connsiteX33" y="connsiteY33"/>
                    </a:cxn>
                    <a:cxn ang="0">
                      <a:pos x="connsiteX34" y="connsiteY34"/>
                    </a:cxn>
                    <a:cxn ang="0">
                      <a:pos x="connsiteX35" y="connsiteY35"/>
                    </a:cxn>
                    <a:cxn ang="0">
                      <a:pos x="connsiteX36" y="connsiteY36"/>
                    </a:cxn>
                    <a:cxn ang="0">
                      <a:pos x="connsiteX37" y="connsiteY37"/>
                    </a:cxn>
                    <a:cxn ang="0">
                      <a:pos x="connsiteX38" y="connsiteY38"/>
                    </a:cxn>
                    <a:cxn ang="0">
                      <a:pos x="connsiteX39" y="connsiteY39"/>
                    </a:cxn>
                    <a:cxn ang="0">
                      <a:pos x="connsiteX40" y="connsiteY40"/>
                    </a:cxn>
                    <a:cxn ang="0">
                      <a:pos x="connsiteX41" y="connsiteY41"/>
                    </a:cxn>
                    <a:cxn ang="0">
                      <a:pos x="connsiteX42" y="connsiteY42"/>
                    </a:cxn>
                    <a:cxn ang="0">
                      <a:pos x="connsiteX43" y="connsiteY43"/>
                    </a:cxn>
                    <a:cxn ang="0">
                      <a:pos x="connsiteX44" y="connsiteY44"/>
                    </a:cxn>
                    <a:cxn ang="0">
                      <a:pos x="connsiteX45" y="connsiteY45"/>
                    </a:cxn>
                    <a:cxn ang="0">
                      <a:pos x="connsiteX46" y="connsiteY46"/>
                    </a:cxn>
                    <a:cxn ang="0">
                      <a:pos x="connsiteX47" y="connsiteY47"/>
                    </a:cxn>
                    <a:cxn ang="0">
                      <a:pos x="connsiteX48" y="connsiteY48"/>
                    </a:cxn>
                    <a:cxn ang="0">
                      <a:pos x="connsiteX49" y="connsiteY49"/>
                    </a:cxn>
                    <a:cxn ang="0">
                      <a:pos x="connsiteX50" y="connsiteY50"/>
                    </a:cxn>
                    <a:cxn ang="0">
                      <a:pos x="connsiteX51" y="connsiteY51"/>
                    </a:cxn>
                    <a:cxn ang="0">
                      <a:pos x="connsiteX52" y="connsiteY52"/>
                    </a:cxn>
                    <a:cxn ang="0">
                      <a:pos x="connsiteX53" y="connsiteY53"/>
                    </a:cxn>
                    <a:cxn ang="0">
                      <a:pos x="connsiteX54" y="connsiteY54"/>
                    </a:cxn>
                    <a:cxn ang="0">
                      <a:pos x="connsiteX55" y="connsiteY55"/>
                    </a:cxn>
                    <a:cxn ang="0">
                      <a:pos x="connsiteX56" y="connsiteY56"/>
                    </a:cxn>
                    <a:cxn ang="0">
                      <a:pos x="connsiteX57" y="connsiteY57"/>
                    </a:cxn>
                    <a:cxn ang="0">
                      <a:pos x="connsiteX58" y="connsiteY58"/>
                    </a:cxn>
                    <a:cxn ang="0">
                      <a:pos x="connsiteX59" y="connsiteY59"/>
                    </a:cxn>
                    <a:cxn ang="0">
                      <a:pos x="connsiteX60" y="connsiteY60"/>
                    </a:cxn>
                    <a:cxn ang="0">
                      <a:pos x="connsiteX61" y="connsiteY61"/>
                    </a:cxn>
                    <a:cxn ang="0">
                      <a:pos x="connsiteX62" y="connsiteY62"/>
                    </a:cxn>
                    <a:cxn ang="0">
                      <a:pos x="connsiteX63" y="connsiteY63"/>
                    </a:cxn>
                    <a:cxn ang="0">
                      <a:pos x="connsiteX64" y="connsiteY64"/>
                    </a:cxn>
                    <a:cxn ang="0">
                      <a:pos x="connsiteX65" y="connsiteY65"/>
                    </a:cxn>
                    <a:cxn ang="0">
                      <a:pos x="connsiteX66" y="connsiteY66"/>
                    </a:cxn>
                    <a:cxn ang="0">
                      <a:pos x="connsiteX67" y="connsiteY67"/>
                    </a:cxn>
                    <a:cxn ang="0">
                      <a:pos x="connsiteX68" y="connsiteY68"/>
                    </a:cxn>
                    <a:cxn ang="0">
                      <a:pos x="connsiteX69" y="connsiteY69"/>
                    </a:cxn>
                    <a:cxn ang="0">
                      <a:pos x="connsiteX70" y="connsiteY70"/>
                    </a:cxn>
                    <a:cxn ang="0">
                      <a:pos x="connsiteX71" y="connsiteY71"/>
                    </a:cxn>
                    <a:cxn ang="0">
                      <a:pos x="connsiteX72" y="connsiteY72"/>
                    </a:cxn>
                    <a:cxn ang="0">
                      <a:pos x="connsiteX73" y="connsiteY73"/>
                    </a:cxn>
                    <a:cxn ang="0">
                      <a:pos x="connsiteX74" y="connsiteY74"/>
                    </a:cxn>
                    <a:cxn ang="0">
                      <a:pos x="connsiteX75" y="connsiteY75"/>
                    </a:cxn>
                    <a:cxn ang="0">
                      <a:pos x="connsiteX76" y="connsiteY76"/>
                    </a:cxn>
                    <a:cxn ang="0">
                      <a:pos x="connsiteX77" y="connsiteY77"/>
                    </a:cxn>
                    <a:cxn ang="0">
                      <a:pos x="connsiteX78" y="connsiteY78"/>
                    </a:cxn>
                    <a:cxn ang="0">
                      <a:pos x="connsiteX79" y="connsiteY79"/>
                    </a:cxn>
                    <a:cxn ang="0">
                      <a:pos x="connsiteX80" y="connsiteY80"/>
                    </a:cxn>
                    <a:cxn ang="0">
                      <a:pos x="connsiteX81" y="connsiteY81"/>
                    </a:cxn>
                    <a:cxn ang="0">
                      <a:pos x="connsiteX82" y="connsiteY82"/>
                    </a:cxn>
                    <a:cxn ang="0">
                      <a:pos x="connsiteX83" y="connsiteY83"/>
                    </a:cxn>
                    <a:cxn ang="0">
                      <a:pos x="connsiteX84" y="connsiteY84"/>
                    </a:cxn>
                    <a:cxn ang="0">
                      <a:pos x="connsiteX85" y="connsiteY85"/>
                    </a:cxn>
                  </a:cxnLst>
                  <a:rect l="l" t="t" r="r" b="b"/>
                  <a:pathLst>
                    <a:path w="10749643" h="1893261">
                      <a:moveTo>
                        <a:pt x="0" y="1279072"/>
                      </a:moveTo>
                      <a:cubicBezTo>
                        <a:pt x="315492" y="1357943"/>
                        <a:pt x="152880" y="1327388"/>
                        <a:pt x="789215" y="1292679"/>
                      </a:cubicBezTo>
                      <a:cubicBezTo>
                        <a:pt x="813604" y="1291349"/>
                        <a:pt x="834572" y="1274536"/>
                        <a:pt x="857250" y="1265465"/>
                      </a:cubicBezTo>
                      <a:cubicBezTo>
                        <a:pt x="902607" y="1229179"/>
                        <a:pt x="952249" y="1197681"/>
                        <a:pt x="993322" y="1156608"/>
                      </a:cubicBezTo>
                      <a:cubicBezTo>
                        <a:pt x="1020536" y="1129394"/>
                        <a:pt x="1042942" y="1096314"/>
                        <a:pt x="1074965" y="1074965"/>
                      </a:cubicBezTo>
                      <a:cubicBezTo>
                        <a:pt x="1088572" y="1065893"/>
                        <a:pt x="1099470" y="1048862"/>
                        <a:pt x="1115786" y="1047750"/>
                      </a:cubicBezTo>
                      <a:cubicBezTo>
                        <a:pt x="1301375" y="1035096"/>
                        <a:pt x="1487715" y="1038679"/>
                        <a:pt x="1673679" y="1034143"/>
                      </a:cubicBezTo>
                      <a:cubicBezTo>
                        <a:pt x="1737814" y="937941"/>
                        <a:pt x="1654055" y="1053767"/>
                        <a:pt x="1755322" y="952500"/>
                      </a:cubicBezTo>
                      <a:cubicBezTo>
                        <a:pt x="1766886" y="940936"/>
                        <a:pt x="1767909" y="918992"/>
                        <a:pt x="1782536" y="911679"/>
                      </a:cubicBezTo>
                      <a:cubicBezTo>
                        <a:pt x="1807213" y="899341"/>
                        <a:pt x="1837125" y="903483"/>
                        <a:pt x="1864179" y="898072"/>
                      </a:cubicBezTo>
                      <a:cubicBezTo>
                        <a:pt x="1882517" y="894404"/>
                        <a:pt x="1900626" y="889603"/>
                        <a:pt x="1918608" y="884465"/>
                      </a:cubicBezTo>
                      <a:cubicBezTo>
                        <a:pt x="1932399" y="880525"/>
                        <a:pt x="1945365" y="873671"/>
                        <a:pt x="1959429" y="870858"/>
                      </a:cubicBezTo>
                      <a:cubicBezTo>
                        <a:pt x="1990879" y="864568"/>
                        <a:pt x="2022929" y="861786"/>
                        <a:pt x="2054679" y="857250"/>
                      </a:cubicBezTo>
                      <a:cubicBezTo>
                        <a:pt x="2151020" y="793023"/>
                        <a:pt x="2024465" y="872221"/>
                        <a:pt x="2177143" y="802822"/>
                      </a:cubicBezTo>
                      <a:cubicBezTo>
                        <a:pt x="2201220" y="791878"/>
                        <a:pt x="2221523" y="773828"/>
                        <a:pt x="2245179" y="762000"/>
                      </a:cubicBezTo>
                      <a:cubicBezTo>
                        <a:pt x="2267026" y="751077"/>
                        <a:pt x="2291368" y="745709"/>
                        <a:pt x="2313215" y="734786"/>
                      </a:cubicBezTo>
                      <a:cubicBezTo>
                        <a:pt x="2334594" y="724097"/>
                        <a:pt x="2394084" y="677023"/>
                        <a:pt x="2408465" y="666750"/>
                      </a:cubicBezTo>
                      <a:cubicBezTo>
                        <a:pt x="2421772" y="657245"/>
                        <a:pt x="2433155" y="642224"/>
                        <a:pt x="2449286" y="639536"/>
                      </a:cubicBezTo>
                      <a:cubicBezTo>
                        <a:pt x="2543665" y="623806"/>
                        <a:pt x="2639854" y="622084"/>
                        <a:pt x="2735036" y="612322"/>
                      </a:cubicBezTo>
                      <a:lnTo>
                        <a:pt x="2979965" y="585108"/>
                      </a:lnTo>
                      <a:cubicBezTo>
                        <a:pt x="3037679" y="570679"/>
                        <a:pt x="3109397" y="549674"/>
                        <a:pt x="3170465" y="544286"/>
                      </a:cubicBezTo>
                      <a:cubicBezTo>
                        <a:pt x="3297296" y="533095"/>
                        <a:pt x="3424465" y="526143"/>
                        <a:pt x="3551465" y="517072"/>
                      </a:cubicBezTo>
                      <a:cubicBezTo>
                        <a:pt x="3587751" y="508001"/>
                        <a:pt x="3624238" y="499699"/>
                        <a:pt x="3660322" y="489858"/>
                      </a:cubicBezTo>
                      <a:cubicBezTo>
                        <a:pt x="3756376" y="463661"/>
                        <a:pt x="3635726" y="481712"/>
                        <a:pt x="3810000" y="449036"/>
                      </a:cubicBezTo>
                      <a:cubicBezTo>
                        <a:pt x="3845942" y="442297"/>
                        <a:pt x="3882423" y="438552"/>
                        <a:pt x="3918858" y="435429"/>
                      </a:cubicBezTo>
                      <a:cubicBezTo>
                        <a:pt x="4041209" y="424942"/>
                        <a:pt x="4163786" y="417286"/>
                        <a:pt x="4286250" y="408215"/>
                      </a:cubicBezTo>
                      <a:cubicBezTo>
                        <a:pt x="4413702" y="365732"/>
                        <a:pt x="4225197" y="435327"/>
                        <a:pt x="4367893" y="353786"/>
                      </a:cubicBezTo>
                      <a:cubicBezTo>
                        <a:pt x="4384130" y="344507"/>
                        <a:pt x="4404179" y="344715"/>
                        <a:pt x="4422322" y="340179"/>
                      </a:cubicBezTo>
                      <a:cubicBezTo>
                        <a:pt x="4654844" y="200668"/>
                        <a:pt x="4317361" y="391850"/>
                        <a:pt x="4572000" y="285750"/>
                      </a:cubicBezTo>
                      <a:cubicBezTo>
                        <a:pt x="4602191" y="273170"/>
                        <a:pt x="4622194" y="240307"/>
                        <a:pt x="4653643" y="231322"/>
                      </a:cubicBezTo>
                      <a:cubicBezTo>
                        <a:pt x="4771131" y="197754"/>
                        <a:pt x="4716514" y="210584"/>
                        <a:pt x="4816929" y="190500"/>
                      </a:cubicBezTo>
                      <a:lnTo>
                        <a:pt x="5238750" y="204108"/>
                      </a:lnTo>
                      <a:cubicBezTo>
                        <a:pt x="5288792" y="206491"/>
                        <a:pt x="5338458" y="214146"/>
                        <a:pt x="5388429" y="217715"/>
                      </a:cubicBezTo>
                      <a:cubicBezTo>
                        <a:pt x="5465473" y="223218"/>
                        <a:pt x="5542643" y="226786"/>
                        <a:pt x="5619750" y="231322"/>
                      </a:cubicBezTo>
                      <a:cubicBezTo>
                        <a:pt x="5645328" y="248374"/>
                        <a:pt x="5685786" y="277782"/>
                        <a:pt x="5715000" y="285750"/>
                      </a:cubicBezTo>
                      <a:cubicBezTo>
                        <a:pt x="5745942" y="294189"/>
                        <a:pt x="5778500" y="294822"/>
                        <a:pt x="5810250" y="299358"/>
                      </a:cubicBezTo>
                      <a:cubicBezTo>
                        <a:pt x="5919107" y="294822"/>
                        <a:pt x="6029137" y="302317"/>
                        <a:pt x="6136822" y="285750"/>
                      </a:cubicBezTo>
                      <a:cubicBezTo>
                        <a:pt x="6159098" y="282323"/>
                        <a:pt x="6170173" y="217180"/>
                        <a:pt x="6177643" y="204108"/>
                      </a:cubicBezTo>
                      <a:cubicBezTo>
                        <a:pt x="6208873" y="149457"/>
                        <a:pt x="6243208" y="129745"/>
                        <a:pt x="6286500" y="81643"/>
                      </a:cubicBezTo>
                      <a:cubicBezTo>
                        <a:pt x="6363274" y="-3661"/>
                        <a:pt x="6305888" y="22369"/>
                        <a:pt x="6395358" y="0"/>
                      </a:cubicBezTo>
                      <a:cubicBezTo>
                        <a:pt x="6408965" y="4536"/>
                        <a:pt x="6422264" y="10129"/>
                        <a:pt x="6436179" y="13608"/>
                      </a:cubicBezTo>
                      <a:cubicBezTo>
                        <a:pt x="6458616" y="19217"/>
                        <a:pt x="6484971" y="14386"/>
                        <a:pt x="6504215" y="27215"/>
                      </a:cubicBezTo>
                      <a:cubicBezTo>
                        <a:pt x="6516149" y="35171"/>
                        <a:pt x="6507680" y="57894"/>
                        <a:pt x="6517822" y="68036"/>
                      </a:cubicBezTo>
                      <a:cubicBezTo>
                        <a:pt x="6545989" y="96203"/>
                        <a:pt x="6605889" y="101978"/>
                        <a:pt x="6640286" y="108858"/>
                      </a:cubicBezTo>
                      <a:cubicBezTo>
                        <a:pt x="6672036" y="122465"/>
                        <a:pt x="6704640" y="134231"/>
                        <a:pt x="6735536" y="149679"/>
                      </a:cubicBezTo>
                      <a:cubicBezTo>
                        <a:pt x="6763480" y="163651"/>
                        <a:pt x="6806895" y="200699"/>
                        <a:pt x="6844393" y="204108"/>
                      </a:cubicBezTo>
                      <a:cubicBezTo>
                        <a:pt x="6980207" y="216455"/>
                        <a:pt x="7116536" y="222251"/>
                        <a:pt x="7252608" y="231322"/>
                      </a:cubicBezTo>
                      <a:cubicBezTo>
                        <a:pt x="7327977" y="281568"/>
                        <a:pt x="7257742" y="242810"/>
                        <a:pt x="7375072" y="272143"/>
                      </a:cubicBezTo>
                      <a:cubicBezTo>
                        <a:pt x="7575260" y="322191"/>
                        <a:pt x="7301076" y="286388"/>
                        <a:pt x="7620000" y="312965"/>
                      </a:cubicBezTo>
                      <a:cubicBezTo>
                        <a:pt x="7706179" y="294822"/>
                        <a:pt x="7793571" y="281708"/>
                        <a:pt x="7878536" y="258536"/>
                      </a:cubicBezTo>
                      <a:cubicBezTo>
                        <a:pt x="7894314" y="254233"/>
                        <a:pt x="7903036" y="232342"/>
                        <a:pt x="7919358" y="231322"/>
                      </a:cubicBezTo>
                      <a:cubicBezTo>
                        <a:pt x="7978381" y="227633"/>
                        <a:pt x="8037286" y="240393"/>
                        <a:pt x="8096250" y="244929"/>
                      </a:cubicBezTo>
                      <a:cubicBezTo>
                        <a:pt x="8118929" y="267608"/>
                        <a:pt x="8137600" y="295175"/>
                        <a:pt x="8164286" y="312965"/>
                      </a:cubicBezTo>
                      <a:cubicBezTo>
                        <a:pt x="8223978" y="352758"/>
                        <a:pt x="8192025" y="330367"/>
                        <a:pt x="8259536" y="381000"/>
                      </a:cubicBezTo>
                      <a:cubicBezTo>
                        <a:pt x="8312048" y="538538"/>
                        <a:pt x="8256966" y="413860"/>
                        <a:pt x="8313965" y="489858"/>
                      </a:cubicBezTo>
                      <a:cubicBezTo>
                        <a:pt x="8333589" y="516024"/>
                        <a:pt x="8368393" y="571500"/>
                        <a:pt x="8368393" y="571500"/>
                      </a:cubicBezTo>
                      <a:cubicBezTo>
                        <a:pt x="8372929" y="589643"/>
                        <a:pt x="8369685" y="611855"/>
                        <a:pt x="8382000" y="625929"/>
                      </a:cubicBezTo>
                      <a:cubicBezTo>
                        <a:pt x="8403538" y="650544"/>
                        <a:pt x="8463643" y="680358"/>
                        <a:pt x="8463643" y="680358"/>
                      </a:cubicBezTo>
                      <a:cubicBezTo>
                        <a:pt x="8492057" y="765600"/>
                        <a:pt x="8452552" y="679157"/>
                        <a:pt x="8531679" y="748393"/>
                      </a:cubicBezTo>
                      <a:cubicBezTo>
                        <a:pt x="8553536" y="767518"/>
                        <a:pt x="8567965" y="793750"/>
                        <a:pt x="8586108" y="816429"/>
                      </a:cubicBezTo>
                      <a:cubicBezTo>
                        <a:pt x="8590644" y="830036"/>
                        <a:pt x="8594065" y="844067"/>
                        <a:pt x="8599715" y="857250"/>
                      </a:cubicBezTo>
                      <a:cubicBezTo>
                        <a:pt x="8620432" y="905591"/>
                        <a:pt x="8626811" y="911502"/>
                        <a:pt x="8654143" y="952500"/>
                      </a:cubicBezTo>
                      <a:cubicBezTo>
                        <a:pt x="8679060" y="1052167"/>
                        <a:pt x="8668275" y="1053926"/>
                        <a:pt x="8722179" y="1129393"/>
                      </a:cubicBezTo>
                      <a:cubicBezTo>
                        <a:pt x="8729636" y="1139832"/>
                        <a:pt x="8740322" y="1147536"/>
                        <a:pt x="8749393" y="1156608"/>
                      </a:cubicBezTo>
                      <a:cubicBezTo>
                        <a:pt x="8753929" y="1174751"/>
                        <a:pt x="8752276" y="1195716"/>
                        <a:pt x="8763000" y="1211036"/>
                      </a:cubicBezTo>
                      <a:cubicBezTo>
                        <a:pt x="8818870" y="1290850"/>
                        <a:pt x="8821516" y="1284970"/>
                        <a:pt x="8885465" y="1306286"/>
                      </a:cubicBezTo>
                      <a:cubicBezTo>
                        <a:pt x="8899072" y="1315357"/>
                        <a:pt x="8910772" y="1328328"/>
                        <a:pt x="8926286" y="1333500"/>
                      </a:cubicBezTo>
                      <a:cubicBezTo>
                        <a:pt x="8952460" y="1342225"/>
                        <a:pt x="8983974" y="1333420"/>
                        <a:pt x="9007929" y="1347108"/>
                      </a:cubicBezTo>
                      <a:cubicBezTo>
                        <a:pt x="9020382" y="1354224"/>
                        <a:pt x="9010336" y="1378969"/>
                        <a:pt x="9021536" y="1387929"/>
                      </a:cubicBezTo>
                      <a:cubicBezTo>
                        <a:pt x="9036139" y="1399612"/>
                        <a:pt x="9057822" y="1397000"/>
                        <a:pt x="9075965" y="1401536"/>
                      </a:cubicBezTo>
                      <a:cubicBezTo>
                        <a:pt x="9085036" y="1415143"/>
                        <a:pt x="9090409" y="1432142"/>
                        <a:pt x="9103179" y="1442358"/>
                      </a:cubicBezTo>
                      <a:cubicBezTo>
                        <a:pt x="9114379" y="1451318"/>
                        <a:pt x="9129812" y="1453863"/>
                        <a:pt x="9144000" y="1455965"/>
                      </a:cubicBezTo>
                      <a:cubicBezTo>
                        <a:pt x="9252520" y="1472042"/>
                        <a:pt x="9361715" y="1483179"/>
                        <a:pt x="9470572" y="1496786"/>
                      </a:cubicBezTo>
                      <a:cubicBezTo>
                        <a:pt x="9488715" y="1501322"/>
                        <a:pt x="9506744" y="1506336"/>
                        <a:pt x="9525000" y="1510393"/>
                      </a:cubicBezTo>
                      <a:cubicBezTo>
                        <a:pt x="9547577" y="1515410"/>
                        <a:pt x="9570599" y="1518391"/>
                        <a:pt x="9593036" y="1524000"/>
                      </a:cubicBezTo>
                      <a:cubicBezTo>
                        <a:pt x="9606951" y="1527479"/>
                        <a:pt x="9620251" y="1533072"/>
                        <a:pt x="9633858" y="1537608"/>
                      </a:cubicBezTo>
                      <a:cubicBezTo>
                        <a:pt x="9724452" y="1628202"/>
                        <a:pt x="9626884" y="1542805"/>
                        <a:pt x="9715500" y="1592036"/>
                      </a:cubicBezTo>
                      <a:cubicBezTo>
                        <a:pt x="9744092" y="1607920"/>
                        <a:pt x="9769929" y="1628322"/>
                        <a:pt x="9797143" y="1646465"/>
                      </a:cubicBezTo>
                      <a:cubicBezTo>
                        <a:pt x="9810750" y="1655536"/>
                        <a:pt x="9822450" y="1668507"/>
                        <a:pt x="9837965" y="1673679"/>
                      </a:cubicBezTo>
                      <a:cubicBezTo>
                        <a:pt x="9900727" y="1694600"/>
                        <a:pt x="9864721" y="1684473"/>
                        <a:pt x="9946822" y="1700893"/>
                      </a:cubicBezTo>
                      <a:cubicBezTo>
                        <a:pt x="9970393" y="1736251"/>
                        <a:pt x="9986720" y="1762377"/>
                        <a:pt x="10014858" y="1796143"/>
                      </a:cubicBezTo>
                      <a:cubicBezTo>
                        <a:pt x="10023071" y="1805999"/>
                        <a:pt x="10032054" y="1815344"/>
                        <a:pt x="10042072" y="1823358"/>
                      </a:cubicBezTo>
                      <a:cubicBezTo>
                        <a:pt x="10054842" y="1833574"/>
                        <a:pt x="10068266" y="1843259"/>
                        <a:pt x="10082893" y="1850572"/>
                      </a:cubicBezTo>
                      <a:cubicBezTo>
                        <a:pt x="10113996" y="1866123"/>
                        <a:pt x="10160699" y="1870023"/>
                        <a:pt x="10191750" y="1877786"/>
                      </a:cubicBezTo>
                      <a:cubicBezTo>
                        <a:pt x="10205665" y="1881265"/>
                        <a:pt x="10218233" y="1891043"/>
                        <a:pt x="10232572" y="1891393"/>
                      </a:cubicBezTo>
                      <a:cubicBezTo>
                        <a:pt x="10404878" y="1895596"/>
                        <a:pt x="10577286" y="1891393"/>
                        <a:pt x="10749643" y="1891393"/>
                      </a:cubicBezTo>
                    </a:path>
                  </a:pathLst>
                </a:custGeom>
                <a:noFill/>
                <a:ln w="28575">
                  <a:solidFill>
                    <a:schemeClr val="bg1">
                      <a:lumMod val="50000"/>
                    </a:schemeClr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en-US" sz="1100"/>
                </a:p>
              </xdr:txBody>
            </xdr:sp>
            <xdr:grpSp>
              <xdr:nvGrpSpPr>
                <xdr:cNvPr id="13" name="Group 12">
                  <a:extLst>
                    <a:ext uri="{FF2B5EF4-FFF2-40B4-BE49-F238E27FC236}">
                      <a16:creationId xmlns:a16="http://schemas.microsoft.com/office/drawing/2014/main" id="{00000000-0008-0000-0100-00000D000000}"/>
                    </a:ext>
                  </a:extLst>
                </xdr:cNvPr>
                <xdr:cNvGrpSpPr/>
              </xdr:nvGrpSpPr>
              <xdr:grpSpPr>
                <a:xfrm>
                  <a:off x="789214" y="13334999"/>
                  <a:ext cx="10730593" cy="13607"/>
                  <a:chOff x="789214" y="13334999"/>
                  <a:chExt cx="10730593" cy="13607"/>
                </a:xfrm>
              </xdr:grpSpPr>
              <xdr:cxnSp macro="">
                <xdr:nvCxnSpPr>
                  <xdr:cNvPr id="21" name="Straight Connector 20">
                    <a:extLst>
                      <a:ext uri="{FF2B5EF4-FFF2-40B4-BE49-F238E27FC236}">
                        <a16:creationId xmlns:a16="http://schemas.microsoft.com/office/drawing/2014/main" id="{00000000-0008-0000-0100-000015000000}"/>
                      </a:ext>
                    </a:extLst>
                  </xdr:cNvPr>
                  <xdr:cNvCxnSpPr/>
                </xdr:nvCxnSpPr>
                <xdr:spPr>
                  <a:xfrm>
                    <a:off x="789214" y="13348606"/>
                    <a:ext cx="1097280" cy="0"/>
                  </a:xfrm>
                  <a:prstGeom prst="line">
                    <a:avLst/>
                  </a:prstGeom>
                  <a:ln w="28575">
                    <a:solidFill>
                      <a:srgbClr val="00B0F0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22" name="Straight Connector 21">
                    <a:extLst>
                      <a:ext uri="{FF2B5EF4-FFF2-40B4-BE49-F238E27FC236}">
                        <a16:creationId xmlns:a16="http://schemas.microsoft.com/office/drawing/2014/main" id="{00000000-0008-0000-0100-000016000000}"/>
                      </a:ext>
                    </a:extLst>
                  </xdr:cNvPr>
                  <xdr:cNvCxnSpPr/>
                </xdr:nvCxnSpPr>
                <xdr:spPr>
                  <a:xfrm flipV="1">
                    <a:off x="1918607" y="13334999"/>
                    <a:ext cx="9601200" cy="13607"/>
                  </a:xfrm>
                  <a:prstGeom prst="line">
                    <a:avLst/>
                  </a:prstGeom>
                  <a:ln w="19050">
                    <a:solidFill>
                      <a:srgbClr val="00B0F0"/>
                    </a:solidFill>
                    <a:prstDash val="sysDash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sp macro="" textlink="">
              <xdr:nvSpPr>
                <xdr:cNvPr id="14" name="TextBox 13">
                  <a:extLst>
                    <a:ext uri="{FF2B5EF4-FFF2-40B4-BE49-F238E27FC236}">
                      <a16:creationId xmlns:a16="http://schemas.microsoft.com/office/drawing/2014/main" id="{00000000-0008-0000-0100-00000E000000}"/>
                    </a:ext>
                  </a:extLst>
                </xdr:cNvPr>
                <xdr:cNvSpPr txBox="1"/>
              </xdr:nvSpPr>
              <xdr:spPr>
                <a:xfrm rot="158970">
                  <a:off x="5635083" y="13647965"/>
                  <a:ext cx="1983235" cy="264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1100">
                      <a:solidFill>
                        <a:srgbClr val="00B050"/>
                      </a:solidFill>
                    </a:rPr>
                    <a:t>gravity</a:t>
                  </a:r>
                  <a:r>
                    <a:rPr lang="en-US" sz="1100" baseline="0">
                      <a:solidFill>
                        <a:srgbClr val="00B050"/>
                      </a:solidFill>
                    </a:rPr>
                    <a:t> fed o</a:t>
                  </a:r>
                  <a:r>
                    <a:rPr lang="en-US" sz="1100">
                      <a:solidFill>
                        <a:srgbClr val="00B050"/>
                      </a:solidFill>
                    </a:rPr>
                    <a:t>cean</a:t>
                  </a:r>
                  <a:r>
                    <a:rPr lang="en-US" sz="1100" baseline="0">
                      <a:solidFill>
                        <a:srgbClr val="00B050"/>
                      </a:solidFill>
                    </a:rPr>
                    <a:t> water inflows</a:t>
                  </a:r>
                  <a:endParaRPr lang="en-US" sz="1100">
                    <a:solidFill>
                      <a:srgbClr val="00B050"/>
                    </a:solidFill>
                  </a:endParaRPr>
                </a:p>
              </xdr:txBody>
            </xdr:sp>
            <xdr:sp macro="" textlink="">
              <xdr:nvSpPr>
                <xdr:cNvPr id="15" name="TextBox 14">
                  <a:extLst>
                    <a:ext uri="{FF2B5EF4-FFF2-40B4-BE49-F238E27FC236}">
                      <a16:creationId xmlns:a16="http://schemas.microsoft.com/office/drawing/2014/main" id="{00000000-0008-0000-0100-00000F000000}"/>
                    </a:ext>
                  </a:extLst>
                </xdr:cNvPr>
                <xdr:cNvSpPr txBox="1"/>
              </xdr:nvSpPr>
              <xdr:spPr>
                <a:xfrm rot="21360000">
                  <a:off x="5649936" y="12766221"/>
                  <a:ext cx="1659621" cy="264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1100" baseline="0">
                      <a:solidFill>
                        <a:srgbClr val="FF0000"/>
                      </a:solidFill>
                    </a:rPr>
                    <a:t>gravity fed brine outflows</a:t>
                  </a:r>
                  <a:endParaRPr lang="en-US" sz="1100">
                    <a:solidFill>
                      <a:srgbClr val="FF0000"/>
                    </a:solidFill>
                  </a:endParaRPr>
                </a:p>
              </xdr:txBody>
            </xdr:sp>
            <xdr:sp macro="" textlink="">
              <xdr:nvSpPr>
                <xdr:cNvPr id="16" name="TextBox 15">
                  <a:extLst>
                    <a:ext uri="{FF2B5EF4-FFF2-40B4-BE49-F238E27FC236}">
                      <a16:creationId xmlns:a16="http://schemas.microsoft.com/office/drawing/2014/main" id="{00000000-0008-0000-0100-000010000000}"/>
                    </a:ext>
                  </a:extLst>
                </xdr:cNvPr>
                <xdr:cNvSpPr txBox="1"/>
              </xdr:nvSpPr>
              <xdr:spPr>
                <a:xfrm>
                  <a:off x="10752367" y="13816693"/>
                  <a:ext cx="914400" cy="264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noAutofit/>
                </a:bodyPr>
                <a:lstStyle/>
                <a:p>
                  <a:pPr algn="ctr"/>
                  <a:r>
                    <a:rPr lang="en-US" sz="1100">
                      <a:solidFill>
                        <a:srgbClr val="00B0F0"/>
                      </a:solidFill>
                    </a:rPr>
                    <a:t>SALTON</a:t>
                  </a:r>
                </a:p>
              </xdr:txBody>
            </xdr:sp>
            <xdr:sp macro="" textlink="">
              <xdr:nvSpPr>
                <xdr:cNvPr id="17" name="TextBox 16">
                  <a:extLst>
                    <a:ext uri="{FF2B5EF4-FFF2-40B4-BE49-F238E27FC236}">
                      <a16:creationId xmlns:a16="http://schemas.microsoft.com/office/drawing/2014/main" id="{00000000-0008-0000-0100-000011000000}"/>
                    </a:ext>
                  </a:extLst>
                </xdr:cNvPr>
                <xdr:cNvSpPr txBox="1"/>
              </xdr:nvSpPr>
              <xdr:spPr>
                <a:xfrm rot="2160000">
                  <a:off x="9198427" y="13120007"/>
                  <a:ext cx="1659621" cy="264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noAutofit/>
                </a:bodyPr>
                <a:lstStyle/>
                <a:p>
                  <a:r>
                    <a:rPr lang="en-US" sz="1100" baseline="0">
                      <a:solidFill>
                        <a:srgbClr val="FF0000"/>
                      </a:solidFill>
                    </a:rPr>
                    <a:t>pumped brine outflows</a:t>
                  </a:r>
                  <a:endParaRPr lang="en-US" sz="1100">
                    <a:solidFill>
                      <a:srgbClr val="FF0000"/>
                    </a:solidFill>
                  </a:endParaRPr>
                </a:p>
              </xdr:txBody>
            </xdr:sp>
            <xdr:grpSp>
              <xdr:nvGrpSpPr>
                <xdr:cNvPr id="18" name="Group 17">
                  <a:extLst>
                    <a:ext uri="{FF2B5EF4-FFF2-40B4-BE49-F238E27FC236}">
                      <a16:creationId xmlns:a16="http://schemas.microsoft.com/office/drawing/2014/main" id="{00000000-0008-0000-0100-000012000000}"/>
                    </a:ext>
                  </a:extLst>
                </xdr:cNvPr>
                <xdr:cNvGrpSpPr/>
              </xdr:nvGrpSpPr>
              <xdr:grpSpPr>
                <a:xfrm>
                  <a:off x="10001250" y="13716000"/>
                  <a:ext cx="1131079" cy="1017225"/>
                  <a:chOff x="10001250" y="13716000"/>
                  <a:chExt cx="1131079" cy="1017225"/>
                </a:xfrm>
              </xdr:grpSpPr>
              <xdr:sp macro="" textlink="">
                <xdr:nvSpPr>
                  <xdr:cNvPr id="19" name="Oval 18">
                    <a:extLst>
                      <a:ext uri="{FF2B5EF4-FFF2-40B4-BE49-F238E27FC236}">
                        <a16:creationId xmlns:a16="http://schemas.microsoft.com/office/drawing/2014/main" id="{00000000-0008-0000-0100-000013000000}"/>
                      </a:ext>
                    </a:extLst>
                  </xdr:cNvPr>
                  <xdr:cNvSpPr/>
                </xdr:nvSpPr>
                <xdr:spPr>
                  <a:xfrm>
                    <a:off x="10395857" y="13716000"/>
                    <a:ext cx="283464" cy="285750"/>
                  </a:xfrm>
                  <a:prstGeom prst="ellipse">
                    <a:avLst/>
                  </a:prstGeom>
                  <a:solidFill>
                    <a:schemeClr val="tx1">
                      <a:lumMod val="65000"/>
                      <a:lumOff val="35000"/>
                    </a:schemeClr>
                  </a:solidFill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lang="en-US" sz="110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endParaRPr>
                  </a:p>
                </xdr:txBody>
              </xdr:sp>
              <xdr:sp macro="" textlink="">
                <xdr:nvSpPr>
                  <xdr:cNvPr id="20" name="TextBox 19">
                    <a:extLst>
                      <a:ext uri="{FF2B5EF4-FFF2-40B4-BE49-F238E27FC236}">
                        <a16:creationId xmlns:a16="http://schemas.microsoft.com/office/drawing/2014/main" id="{00000000-0008-0000-0100-000014000000}"/>
                      </a:ext>
                    </a:extLst>
                  </xdr:cNvPr>
                  <xdr:cNvSpPr txBox="1"/>
                </xdr:nvSpPr>
                <xdr:spPr>
                  <a:xfrm>
                    <a:off x="10001250" y="14124212"/>
                    <a:ext cx="1131079" cy="609013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pPr algn="ctr"/>
                    <a:r>
                      <a:rPr lang="en-US" sz="110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</a:rPr>
                      <a:t>Hydropower </a:t>
                    </a:r>
                    <a:br>
                      <a:rPr lang="en-US" sz="110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</a:rPr>
                    </a:br>
                    <a:r>
                      <a:rPr lang="en-US" sz="110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</a:rPr>
                      <a:t>&amp; </a:t>
                    </a:r>
                    <a:br>
                      <a:rPr lang="en-US" sz="110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</a:rPr>
                    </a:br>
                    <a:r>
                      <a:rPr lang="en-US" sz="110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</a:rPr>
                      <a:t>Pumping</a:t>
                    </a:r>
                    <a:r>
                      <a:rPr lang="en-US" sz="11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</a:rPr>
                      <a:t> Station</a:t>
                    </a:r>
                    <a:endParaRPr lang="en-US" sz="110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endParaRPr>
                  </a:p>
                </xdr:txBody>
              </xdr:sp>
            </xdr:grpSp>
          </xdr:grpSp>
        </xdr:grpSp>
      </xdr:grpSp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GrpSpPr/>
        </xdr:nvGrpSpPr>
        <xdr:grpSpPr>
          <a:xfrm>
            <a:off x="1700893" y="12083145"/>
            <a:ext cx="8599714" cy="1000125"/>
            <a:chOff x="1700893" y="12083145"/>
            <a:chExt cx="8599714" cy="1000125"/>
          </a:xfrm>
        </xdr:grpSpPr>
        <xdr:cxnSp macro="">
          <xdr:nvCxnSpPr>
            <xdr:cNvPr id="5" name="Straight Arrow Connector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CxnSpPr>
              <a:endCxn id="19" idx="2"/>
            </xdr:cNvCxnSpPr>
          </xdr:nvCxnSpPr>
          <xdr:spPr>
            <a:xfrm>
              <a:off x="1768929" y="12600214"/>
              <a:ext cx="8531678" cy="483056"/>
            </a:xfrm>
            <a:prstGeom prst="straightConnector1">
              <a:avLst/>
            </a:prstGeom>
            <a:ln w="38100">
              <a:solidFill>
                <a:srgbClr val="00B050"/>
              </a:solidFill>
              <a:prstDash val="dash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Straight Arrow Connector 5">
              <a:extLst>
                <a:ext uri="{FF2B5EF4-FFF2-40B4-BE49-F238E27FC236}">
                  <a16:creationId xmlns:a16="http://schemas.microsoft.com/office/drawing/2014/main" id="{00000000-0008-0000-0100-000006000000}"/>
                </a:ext>
              </a:extLst>
            </xdr:cNvPr>
            <xdr:cNvCxnSpPr>
              <a:stCxn id="12" idx="74"/>
              <a:endCxn id="12" idx="56"/>
            </xdr:cNvCxnSpPr>
          </xdr:nvCxnSpPr>
          <xdr:spPr>
            <a:xfrm flipH="1" flipV="1">
              <a:off x="9089571" y="12083145"/>
              <a:ext cx="1211036" cy="898071"/>
            </a:xfrm>
            <a:prstGeom prst="straightConnector1">
              <a:avLst/>
            </a:prstGeom>
            <a:ln w="38100">
              <a:solidFill>
                <a:srgbClr val="FF0000"/>
              </a:solidFill>
              <a:prstDash val="dash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Straight Arrow Connector 6">
              <a:extLst>
                <a:ext uri="{FF2B5EF4-FFF2-40B4-BE49-F238E27FC236}">
                  <a16:creationId xmlns:a16="http://schemas.microsoft.com/office/drawing/2014/main" id="{00000000-0008-0000-0100-000007000000}"/>
                </a:ext>
              </a:extLst>
            </xdr:cNvPr>
            <xdr:cNvCxnSpPr>
              <a:stCxn id="12" idx="56"/>
              <a:endCxn id="12" idx="3"/>
            </xdr:cNvCxnSpPr>
          </xdr:nvCxnSpPr>
          <xdr:spPr>
            <a:xfrm flipH="1">
              <a:off x="1700893" y="12083145"/>
              <a:ext cx="7388678" cy="530679"/>
            </a:xfrm>
            <a:prstGeom prst="straightConnector1">
              <a:avLst/>
            </a:prstGeom>
            <a:ln w="38100">
              <a:solidFill>
                <a:srgbClr val="FF0000"/>
              </a:solidFill>
              <a:prstDash val="dash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16</xdr:col>
      <xdr:colOff>275532</xdr:colOff>
      <xdr:row>34</xdr:row>
      <xdr:rowOff>178340</xdr:rowOff>
    </xdr:from>
    <xdr:to>
      <xdr:col>17</xdr:col>
      <xdr:colOff>56457</xdr:colOff>
      <xdr:row>47</xdr:row>
      <xdr:rowOff>180454</xdr:rowOff>
    </xdr:to>
    <xdr:sp macro="" textlink="">
      <xdr:nvSpPr>
        <xdr:cNvPr id="47" name="Down Arrow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/>
      </xdr:nvSpPr>
      <xdr:spPr>
        <a:xfrm rot="11070485">
          <a:off x="10029132" y="6655340"/>
          <a:ext cx="390525" cy="2478614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95250</xdr:colOff>
      <xdr:row>32</xdr:row>
      <xdr:rowOff>180975</xdr:rowOff>
    </xdr:from>
    <xdr:to>
      <xdr:col>4</xdr:col>
      <xdr:colOff>266699</xdr:colOff>
      <xdr:row>34</xdr:row>
      <xdr:rowOff>85725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314450" y="6276975"/>
          <a:ext cx="1390649" cy="28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Near Carlsbad, CA</a:t>
          </a:r>
        </a:p>
      </xdr:txBody>
    </xdr:sp>
    <xdr:clientData/>
  </xdr:twoCellAnchor>
  <xdr:twoCellAnchor>
    <xdr:from>
      <xdr:col>18</xdr:col>
      <xdr:colOff>219075</xdr:colOff>
      <xdr:row>35</xdr:row>
      <xdr:rowOff>76200</xdr:rowOff>
    </xdr:from>
    <xdr:to>
      <xdr:col>20</xdr:col>
      <xdr:colOff>390524</xdr:colOff>
      <xdr:row>36</xdr:row>
      <xdr:rowOff>171450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11191875" y="6743700"/>
          <a:ext cx="1390649" cy="285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Near Salton City, CA</a:t>
          </a:r>
        </a:p>
      </xdr:txBody>
    </xdr:sp>
    <xdr:clientData/>
  </xdr:twoCellAnchor>
  <xdr:twoCellAnchor>
    <xdr:from>
      <xdr:col>15</xdr:col>
      <xdr:colOff>348456</xdr:colOff>
      <xdr:row>36</xdr:row>
      <xdr:rowOff>160661</xdr:rowOff>
    </xdr:from>
    <xdr:to>
      <xdr:col>16</xdr:col>
      <xdr:colOff>129381</xdr:colOff>
      <xdr:row>45</xdr:row>
      <xdr:rowOff>38720</xdr:rowOff>
    </xdr:to>
    <xdr:sp macro="" textlink="">
      <xdr:nvSpPr>
        <xdr:cNvPr id="46" name="Down Arrow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/>
      </xdr:nvSpPr>
      <xdr:spPr>
        <a:xfrm rot="266620">
          <a:off x="9492456" y="7018661"/>
          <a:ext cx="390525" cy="1592559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298081</xdr:colOff>
      <xdr:row>38</xdr:row>
      <xdr:rowOff>33620</xdr:rowOff>
    </xdr:from>
    <xdr:to>
      <xdr:col>1</xdr:col>
      <xdr:colOff>2492641</xdr:colOff>
      <xdr:row>43</xdr:row>
      <xdr:rowOff>44825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656669" y="6409767"/>
          <a:ext cx="2194560" cy="963705"/>
        </a:xfrm>
        <a:prstGeom prst="rect">
          <a:avLst/>
        </a:prstGeom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/>
            <a:t>How big is each tunnel?</a:t>
          </a:r>
        </a:p>
      </xdr:txBody>
    </xdr:sp>
    <xdr:clientData/>
  </xdr:twoCellAnchor>
  <xdr:twoCellAnchor>
    <xdr:from>
      <xdr:col>1</xdr:col>
      <xdr:colOff>298081</xdr:colOff>
      <xdr:row>7</xdr:row>
      <xdr:rowOff>174812</xdr:rowOff>
    </xdr:from>
    <xdr:to>
      <xdr:col>1</xdr:col>
      <xdr:colOff>2492641</xdr:colOff>
      <xdr:row>14</xdr:row>
      <xdr:rowOff>152401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656669" y="600636"/>
          <a:ext cx="2194560" cy="1311089"/>
        </a:xfrm>
        <a:prstGeom prst="rect">
          <a:avLst/>
        </a:prstGeom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/>
            <a:t>How</a:t>
          </a:r>
          <a:r>
            <a:rPr lang="en-US" sz="1400" baseline="0"/>
            <a:t> much water do we need?</a:t>
          </a:r>
          <a:endParaRPr lang="en-US" sz="1400"/>
        </a:p>
      </xdr:txBody>
    </xdr:sp>
    <xdr:clientData/>
  </xdr:twoCellAnchor>
  <xdr:twoCellAnchor>
    <xdr:from>
      <xdr:col>1</xdr:col>
      <xdr:colOff>1395361</xdr:colOff>
      <xdr:row>14</xdr:row>
      <xdr:rowOff>152401</xdr:rowOff>
    </xdr:from>
    <xdr:to>
      <xdr:col>1</xdr:col>
      <xdr:colOff>1395361</xdr:colOff>
      <xdr:row>38</xdr:row>
      <xdr:rowOff>33620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CxnSpPr>
          <a:stCxn id="3" idx="2"/>
          <a:endCxn id="2" idx="0"/>
        </xdr:cNvCxnSpPr>
      </xdr:nvCxnSpPr>
      <xdr:spPr>
        <a:xfrm>
          <a:off x="1753949" y="1911725"/>
          <a:ext cx="0" cy="449804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298081</xdr:colOff>
      <xdr:row>47</xdr:row>
      <xdr:rowOff>163609</xdr:rowOff>
    </xdr:from>
    <xdr:to>
      <xdr:col>1</xdr:col>
      <xdr:colOff>2492641</xdr:colOff>
      <xdr:row>54</xdr:row>
      <xdr:rowOff>112058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56669" y="8108580"/>
          <a:ext cx="2194560" cy="1281949"/>
        </a:xfrm>
        <a:prstGeom prst="rect">
          <a:avLst/>
        </a:prstGeom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/>
            <a:t>How</a:t>
          </a:r>
          <a:r>
            <a:rPr lang="en-US" sz="1400" baseline="0"/>
            <a:t> fast does the water flow under gravity for these tunnels, over the specified distance?</a:t>
          </a:r>
        </a:p>
      </xdr:txBody>
    </xdr:sp>
    <xdr:clientData/>
  </xdr:twoCellAnchor>
  <xdr:twoCellAnchor>
    <xdr:from>
      <xdr:col>1</xdr:col>
      <xdr:colOff>1395361</xdr:colOff>
      <xdr:row>43</xdr:row>
      <xdr:rowOff>44825</xdr:rowOff>
    </xdr:from>
    <xdr:to>
      <xdr:col>1</xdr:col>
      <xdr:colOff>1395361</xdr:colOff>
      <xdr:row>47</xdr:row>
      <xdr:rowOff>163609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>
          <a:stCxn id="2" idx="2"/>
          <a:endCxn id="6" idx="0"/>
        </xdr:cNvCxnSpPr>
      </xdr:nvCxnSpPr>
      <xdr:spPr>
        <a:xfrm>
          <a:off x="1753949" y="7373472"/>
          <a:ext cx="0" cy="73510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298081</xdr:colOff>
      <xdr:row>68</xdr:row>
      <xdr:rowOff>35862</xdr:rowOff>
    </xdr:from>
    <xdr:to>
      <xdr:col>1</xdr:col>
      <xdr:colOff>2492641</xdr:colOff>
      <xdr:row>74</xdr:row>
      <xdr:rowOff>85164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656669" y="11835656"/>
          <a:ext cx="2194560" cy="1281949"/>
        </a:xfrm>
        <a:prstGeom prst="rect">
          <a:avLst/>
        </a:prstGeom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/>
            <a:t>How much head</a:t>
          </a:r>
          <a:r>
            <a:rPr lang="en-US" sz="1400" baseline="0"/>
            <a:t> do we lose over the drop at the above flow rates?</a:t>
          </a:r>
        </a:p>
      </xdr:txBody>
    </xdr:sp>
    <xdr:clientData/>
  </xdr:twoCellAnchor>
  <xdr:twoCellAnchor>
    <xdr:from>
      <xdr:col>1</xdr:col>
      <xdr:colOff>1395361</xdr:colOff>
      <xdr:row>54</xdr:row>
      <xdr:rowOff>112058</xdr:rowOff>
    </xdr:from>
    <xdr:to>
      <xdr:col>1</xdr:col>
      <xdr:colOff>1395361</xdr:colOff>
      <xdr:row>68</xdr:row>
      <xdr:rowOff>35862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>
          <a:stCxn id="6" idx="2"/>
          <a:endCxn id="10" idx="0"/>
        </xdr:cNvCxnSpPr>
      </xdr:nvCxnSpPr>
      <xdr:spPr>
        <a:xfrm>
          <a:off x="1753949" y="9390529"/>
          <a:ext cx="0" cy="244512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367402</xdr:colOff>
      <xdr:row>3</xdr:row>
      <xdr:rowOff>107258</xdr:rowOff>
    </xdr:from>
    <xdr:to>
      <xdr:col>17</xdr:col>
      <xdr:colOff>947018</xdr:colOff>
      <xdr:row>30</xdr:row>
      <xdr:rowOff>42650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16921852" y="678758"/>
          <a:ext cx="4637266" cy="5116992"/>
          <a:chOff x="12586616" y="705972"/>
          <a:chExt cx="4648151" cy="5092499"/>
        </a:xfrm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GrpSpPr/>
        </xdr:nvGrpSpPr>
        <xdr:grpSpPr>
          <a:xfrm>
            <a:off x="13167430" y="2164335"/>
            <a:ext cx="4067337" cy="3634136"/>
            <a:chOff x="5058636" y="2650982"/>
            <a:chExt cx="4072072" cy="3717219"/>
          </a:xfrm>
        </xdr:grpSpPr>
        <xdr:pic>
          <xdr:nvPicPr>
            <xdr:cNvPr id="6" name="Picture 5" descr="Image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duotone>
                <a:schemeClr val="accent5">
                  <a:shade val="45000"/>
                  <a:satMod val="135000"/>
                </a:schemeClr>
                <a:prstClr val="white"/>
              </a:duotone>
              <a:extLst>
                <a:ext uri="{BEBA8EAE-BF5A-486C-A8C5-ECC9F3942E4B}">
                  <a14:imgProps xmlns:a14="http://schemas.microsoft.com/office/drawing/2010/main">
                    <a14:imgLayer r:embed="rId2">
                      <a14:imgEffect>
                        <a14:colorTemperature colorTemp="11200"/>
                      </a14:imgEffect>
                      <a14:imgEffect>
                        <a14:brightnessContrast bright="-40000" contrast="40000"/>
                      </a14:imgEffect>
                    </a14:imgLayer>
                  </a14:imgProps>
                </a:ex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058636" y="2650982"/>
              <a:ext cx="4072072" cy="3717219"/>
            </a:xfrm>
            <a:prstGeom prst="rect">
              <a:avLst/>
            </a:prstGeom>
            <a:noFill/>
            <a:ln>
              <a:noFill/>
            </a:ln>
            <a:effectLst>
              <a:outerShdw blurRad="149987" dist="250190" dir="8460000" algn="ctr">
                <a:srgbClr val="000000">
                  <a:alpha val="28000"/>
                </a:srgbClr>
              </a:outerShdw>
            </a:effectLst>
            <a:scene3d>
              <a:camera prst="orthographicFront">
                <a:rot lat="0" lon="0" rev="0"/>
              </a:camera>
              <a:lightRig rig="contrasting" dir="t">
                <a:rot lat="0" lon="0" rev="1500000"/>
              </a:lightRig>
            </a:scene3d>
            <a:sp3d prstMaterial="metal">
              <a:bevelT w="88900" h="88900"/>
            </a:sp3d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7" name="TextBox 16">
                  <a:extLst>
                    <a:ext uri="{FF2B5EF4-FFF2-40B4-BE49-F238E27FC236}">
                      <a16:creationId xmlns:a16="http://schemas.microsoft.com/office/drawing/2014/main" id="{00000000-0008-0000-0300-000007000000}"/>
                    </a:ext>
                  </a:extLst>
                </xdr:cNvPr>
                <xdr:cNvSpPr txBox="1"/>
              </xdr:nvSpPr>
              <xdr:spPr>
                <a:xfrm>
                  <a:off x="6660042" y="4259154"/>
                  <a:ext cx="1237262" cy="468994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US" sz="1200" b="1">
                      <a:solidFill>
                        <a:schemeClr val="bg1"/>
                      </a:solidFill>
                    </a:rPr>
                    <a:t>Lake Volume</a:t>
                  </a:r>
                </a:p>
                <a:p>
                  <a:r>
                    <a:rPr lang="en-US" sz="1200">
                      <a:solidFill>
                        <a:schemeClr val="bg1"/>
                      </a:solidFill>
                    </a:rPr>
                    <a:t>8,665 million </a:t>
                  </a:r>
                  <a14:m>
                    <m:oMath xmlns:m="http://schemas.openxmlformats.org/officeDocument/2006/math">
                      <m:sSup>
                        <m:sSupPr>
                          <m:ctrlPr>
                            <a:rPr lang="en-US" sz="1200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</m:ctrlPr>
                        </m:sSupPr>
                        <m:e>
                          <m:r>
                            <a:rPr lang="en-US" sz="1200" b="0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𝑚</m:t>
                          </m:r>
                        </m:e>
                        <m:sup>
                          <m:r>
                            <a:rPr lang="en-US" sz="1200" b="0" i="1">
                              <a:solidFill>
                                <a:schemeClr val="bg1"/>
                              </a:solidFill>
                              <a:latin typeface="Cambria Math" panose="02040503050406030204" pitchFamily="18" charset="0"/>
                            </a:rPr>
                            <m:t>3</m:t>
                          </m:r>
                        </m:sup>
                      </m:sSup>
                    </m:oMath>
                  </a14:m>
                  <a:endParaRPr lang="en-US" sz="1200"/>
                </a:p>
              </xdr:txBody>
            </xdr:sp>
          </mc:Choice>
          <mc:Fallback xmlns="">
            <xdr:sp macro="" textlink="">
              <xdr:nvSpPr>
                <xdr:cNvPr id="7" name="TextBox 16"/>
                <xdr:cNvSpPr txBox="1"/>
              </xdr:nvSpPr>
              <xdr:spPr>
                <a:xfrm>
                  <a:off x="6660042" y="4259154"/>
                  <a:ext cx="1237262" cy="468994"/>
                </a:xfrm>
                <a:prstGeom prst="rect">
                  <a:avLst/>
                </a:prstGeom>
                <a:noFill/>
              </xdr:spPr>
              <xdr:txBody>
                <a:bodyPr wrap="square" rtlCol="0">
                  <a:spAutoFit/>
                </a:bodyPr>
                <a:lstStyle>
                  <a:defPPr>
                    <a:defRPr lang="en-U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r>
                    <a:rPr lang="en-US" sz="1200" b="1">
                      <a:solidFill>
                        <a:schemeClr val="bg1"/>
                      </a:solidFill>
                    </a:rPr>
                    <a:t>Lake Volume</a:t>
                  </a:r>
                </a:p>
                <a:p>
                  <a:r>
                    <a:rPr lang="en-US" sz="1200">
                      <a:solidFill>
                        <a:schemeClr val="bg1"/>
                      </a:solidFill>
                    </a:rPr>
                    <a:t>8,665 million </a:t>
                  </a:r>
                  <a:r>
                    <a:rPr lang="en-US" sz="1200" b="0" i="0">
                      <a:solidFill>
                        <a:schemeClr val="bg1"/>
                      </a:solidFill>
                      <a:latin typeface="Cambria Math" panose="02040503050406030204" pitchFamily="18" charset="0"/>
                    </a:rPr>
                    <a:t>𝑚^3</a:t>
                  </a:r>
                  <a:endParaRPr lang="en-US" sz="1200"/>
                </a:p>
              </xdr:txBody>
            </xdr:sp>
          </mc:Fallback>
        </mc:AlternateContent>
      </xdr:grpSp>
      <xdr:sp macro="" textlink="">
        <xdr:nvSpPr>
          <xdr:cNvPr id="8" name="Right Arrow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/>
        </xdr:nvSpPr>
        <xdr:spPr>
          <a:xfrm rot="16200000">
            <a:off x="13468408" y="1886887"/>
            <a:ext cx="2599432" cy="237602"/>
          </a:xfrm>
          <a:prstGeom prst="rightArrow">
            <a:avLst/>
          </a:prstGeom>
          <a:solidFill>
            <a:schemeClr val="bg1">
              <a:lumMod val="8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9" name="Right Arrow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SpPr/>
        </xdr:nvSpPr>
        <xdr:spPr>
          <a:xfrm rot="18644859">
            <a:off x="14611836" y="2299162"/>
            <a:ext cx="2617042" cy="238125"/>
          </a:xfrm>
          <a:prstGeom prst="rightArrow">
            <a:avLst/>
          </a:prstGeom>
          <a:solidFill>
            <a:schemeClr val="accent1">
              <a:lumMod val="40000"/>
              <a:lumOff val="6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0" name="Right Arrow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/>
        </xdr:nvSpPr>
        <xdr:spPr>
          <a:xfrm>
            <a:off x="12586616" y="3541334"/>
            <a:ext cx="1268750" cy="238125"/>
          </a:xfrm>
          <a:prstGeom prst="rightArrow">
            <a:avLst/>
          </a:prstGeom>
          <a:solidFill>
            <a:srgbClr val="00B0F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1" name="Right Arrow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/>
        </xdr:nvSpPr>
        <xdr:spPr>
          <a:xfrm>
            <a:off x="12612388" y="4505605"/>
            <a:ext cx="1996188" cy="237744"/>
          </a:xfrm>
          <a:prstGeom prst="rightArrow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2" name="Right Arrow 11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SpPr/>
        </xdr:nvSpPr>
        <xdr:spPr>
          <a:xfrm flipH="1">
            <a:off x="12598379" y="5308346"/>
            <a:ext cx="2374510" cy="235023"/>
          </a:xfrm>
          <a:prstGeom prst="rightArrow">
            <a:avLst/>
          </a:prstGeom>
          <a:solidFill>
            <a:srgbClr val="FFC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11</xdr:col>
      <xdr:colOff>2126</xdr:colOff>
      <xdr:row>31</xdr:row>
      <xdr:rowOff>89647</xdr:rowOff>
    </xdr:from>
    <xdr:to>
      <xdr:col>14</xdr:col>
      <xdr:colOff>441679</xdr:colOff>
      <xdr:row>41</xdr:row>
      <xdr:rowOff>186967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23</xdr:col>
      <xdr:colOff>194719</xdr:colOff>
      <xdr:row>31</xdr:row>
      <xdr:rowOff>89647</xdr:rowOff>
    </xdr:from>
    <xdr:to>
      <xdr:col>28</xdr:col>
      <xdr:colOff>609337</xdr:colOff>
      <xdr:row>41</xdr:row>
      <xdr:rowOff>103762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862578</xdr:colOff>
      <xdr:row>31</xdr:row>
      <xdr:rowOff>89647</xdr:rowOff>
    </xdr:from>
    <xdr:to>
      <xdr:col>23</xdr:col>
      <xdr:colOff>377369</xdr:colOff>
      <xdr:row>41</xdr:row>
      <xdr:rowOff>103762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</xdr:col>
      <xdr:colOff>906878</xdr:colOff>
      <xdr:row>31</xdr:row>
      <xdr:rowOff>89647</xdr:rowOff>
    </xdr:from>
    <xdr:to>
      <xdr:col>18</xdr:col>
      <xdr:colOff>497340</xdr:colOff>
      <xdr:row>41</xdr:row>
      <xdr:rowOff>186967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873851</xdr:colOff>
      <xdr:row>42</xdr:row>
      <xdr:rowOff>45517</xdr:rowOff>
    </xdr:from>
    <xdr:to>
      <xdr:col>14</xdr:col>
      <xdr:colOff>366675</xdr:colOff>
      <xdr:row>60</xdr:row>
      <xdr:rowOff>163285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14</xdr:col>
      <xdr:colOff>705107</xdr:colOff>
      <xdr:row>42</xdr:row>
      <xdr:rowOff>86339</xdr:rowOff>
    </xdr:from>
    <xdr:to>
      <xdr:col>18</xdr:col>
      <xdr:colOff>329711</xdr:colOff>
      <xdr:row>61</xdr:row>
      <xdr:rowOff>13608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19</xdr:col>
      <xdr:colOff>99789</xdr:colOff>
      <xdr:row>41</xdr:row>
      <xdr:rowOff>104453</xdr:rowOff>
    </xdr:from>
    <xdr:to>
      <xdr:col>29</xdr:col>
      <xdr:colOff>122465</xdr:colOff>
      <xdr:row>61</xdr:row>
      <xdr:rowOff>207724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19</xdr:col>
      <xdr:colOff>204633</xdr:colOff>
      <xdr:row>3</xdr:row>
      <xdr:rowOff>77238</xdr:rowOff>
    </xdr:from>
    <xdr:to>
      <xdr:col>29</xdr:col>
      <xdr:colOff>145893</xdr:colOff>
      <xdr:row>29</xdr:row>
      <xdr:rowOff>176893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3</xdr:col>
      <xdr:colOff>2</xdr:colOff>
      <xdr:row>69</xdr:row>
      <xdr:rowOff>136073</xdr:rowOff>
    </xdr:from>
    <xdr:to>
      <xdr:col>9</xdr:col>
      <xdr:colOff>849089</xdr:colOff>
      <xdr:row>82</xdr:row>
      <xdr:rowOff>159977</xdr:rowOff>
    </xdr:to>
    <xdr:grpSp>
      <xdr:nvGrpSpPr>
        <xdr:cNvPr id="65" name="Group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GrpSpPr/>
      </xdr:nvGrpSpPr>
      <xdr:grpSpPr>
        <a:xfrm>
          <a:off x="3790952" y="13490123"/>
          <a:ext cx="10926537" cy="2500404"/>
          <a:chOff x="653144" y="11457216"/>
          <a:chExt cx="10918373" cy="2500404"/>
        </a:xfrm>
      </xdr:grpSpPr>
      <xdr:grpSp>
        <xdr:nvGrpSpPr>
          <xdr:cNvPr id="53" name="Group 52">
            <a:extLst>
              <a:ext uri="{FF2B5EF4-FFF2-40B4-BE49-F238E27FC236}">
                <a16:creationId xmlns:a16="http://schemas.microsoft.com/office/drawing/2014/main" id="{00000000-0008-0000-0300-000035000000}"/>
              </a:ext>
            </a:extLst>
          </xdr:cNvPr>
          <xdr:cNvGrpSpPr/>
        </xdr:nvGrpSpPr>
        <xdr:grpSpPr>
          <a:xfrm>
            <a:off x="653144" y="11457216"/>
            <a:ext cx="10918373" cy="2500404"/>
            <a:chOff x="748394" y="12232821"/>
            <a:chExt cx="10918373" cy="2500404"/>
          </a:xfrm>
        </xdr:grpSpPr>
        <xdr:sp macro="" textlink="">
          <xdr:nvSpPr>
            <xdr:cNvPr id="41" name="TextBox 40">
              <a:extLst>
                <a:ext uri="{FF2B5EF4-FFF2-40B4-BE49-F238E27FC236}">
                  <a16:creationId xmlns:a16="http://schemas.microsoft.com/office/drawing/2014/main" id="{00000000-0008-0000-0300-000029000000}"/>
                </a:ext>
              </a:extLst>
            </xdr:cNvPr>
            <xdr:cNvSpPr txBox="1"/>
          </xdr:nvSpPr>
          <xdr:spPr>
            <a:xfrm>
              <a:off x="748394" y="13283293"/>
              <a:ext cx="914400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ctr"/>
              <a:r>
                <a:rPr lang="en-US" sz="1100">
                  <a:solidFill>
                    <a:srgbClr val="00B0F0"/>
                  </a:solidFill>
                </a:rPr>
                <a:t>PACIFIC</a:t>
              </a:r>
            </a:p>
          </xdr:txBody>
        </xdr:sp>
        <xdr:grpSp>
          <xdr:nvGrpSpPr>
            <xdr:cNvPr id="52" name="Group 51">
              <a:extLst>
                <a:ext uri="{FF2B5EF4-FFF2-40B4-BE49-F238E27FC236}">
                  <a16:creationId xmlns:a16="http://schemas.microsoft.com/office/drawing/2014/main" id="{00000000-0008-0000-0300-000034000000}"/>
                </a:ext>
              </a:extLst>
            </xdr:cNvPr>
            <xdr:cNvGrpSpPr/>
          </xdr:nvGrpSpPr>
          <xdr:grpSpPr>
            <a:xfrm>
              <a:off x="789214" y="12232821"/>
              <a:ext cx="10877553" cy="2500404"/>
              <a:chOff x="789214" y="12232821"/>
              <a:chExt cx="10877553" cy="2500404"/>
            </a:xfrm>
          </xdr:grpSpPr>
          <xdr:cxnSp macro="">
            <xdr:nvCxnSpPr>
              <xdr:cNvPr id="23" name="Straight Connector 22">
                <a:extLst>
                  <a:ext uri="{FF2B5EF4-FFF2-40B4-BE49-F238E27FC236}">
                    <a16:creationId xmlns:a16="http://schemas.microsoft.com/office/drawing/2014/main" id="{00000000-0008-0000-0300-000017000000}"/>
                  </a:ext>
                </a:extLst>
              </xdr:cNvPr>
              <xdr:cNvCxnSpPr/>
            </xdr:nvCxnSpPr>
            <xdr:spPr>
              <a:xfrm>
                <a:off x="10534649" y="13827579"/>
                <a:ext cx="1005840" cy="0"/>
              </a:xfrm>
              <a:prstGeom prst="line">
                <a:avLst/>
              </a:prstGeom>
              <a:ln w="28575">
                <a:solidFill>
                  <a:srgbClr val="00B0F0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grpSp>
            <xdr:nvGrpSpPr>
              <xdr:cNvPr id="51" name="Group 50">
                <a:extLst>
                  <a:ext uri="{FF2B5EF4-FFF2-40B4-BE49-F238E27FC236}">
                    <a16:creationId xmlns:a16="http://schemas.microsoft.com/office/drawing/2014/main" id="{00000000-0008-0000-0300-000033000000}"/>
                  </a:ext>
                </a:extLst>
              </xdr:cNvPr>
              <xdr:cNvGrpSpPr/>
            </xdr:nvGrpSpPr>
            <xdr:grpSpPr>
              <a:xfrm>
                <a:off x="789214" y="12232821"/>
                <a:ext cx="10877553" cy="2500404"/>
                <a:chOff x="789214" y="12232821"/>
                <a:chExt cx="10877553" cy="2500404"/>
              </a:xfrm>
            </xdr:grpSpPr>
            <xdr:sp macro="" textlink="">
              <xdr:nvSpPr>
                <xdr:cNvPr id="4" name="Freeform 3">
                  <a:extLst>
                    <a:ext uri="{FF2B5EF4-FFF2-40B4-BE49-F238E27FC236}">
                      <a16:creationId xmlns:a16="http://schemas.microsoft.com/office/drawing/2014/main" id="{00000000-0008-0000-0300-000004000000}"/>
                    </a:ext>
                  </a:extLst>
                </xdr:cNvPr>
                <xdr:cNvSpPr/>
              </xdr:nvSpPr>
              <xdr:spPr>
                <a:xfrm>
                  <a:off x="802821" y="12232821"/>
                  <a:ext cx="10749643" cy="1893261"/>
                </a:xfrm>
                <a:custGeom>
                  <a:avLst/>
                  <a:gdLst>
                    <a:gd name="connsiteX0" fmla="*/ 0 w 10749643"/>
                    <a:gd name="connsiteY0" fmla="*/ 1279072 h 1893261"/>
                    <a:gd name="connsiteX1" fmla="*/ 789215 w 10749643"/>
                    <a:gd name="connsiteY1" fmla="*/ 1292679 h 1893261"/>
                    <a:gd name="connsiteX2" fmla="*/ 857250 w 10749643"/>
                    <a:gd name="connsiteY2" fmla="*/ 1265465 h 1893261"/>
                    <a:gd name="connsiteX3" fmla="*/ 993322 w 10749643"/>
                    <a:gd name="connsiteY3" fmla="*/ 1156608 h 1893261"/>
                    <a:gd name="connsiteX4" fmla="*/ 1074965 w 10749643"/>
                    <a:gd name="connsiteY4" fmla="*/ 1074965 h 1893261"/>
                    <a:gd name="connsiteX5" fmla="*/ 1115786 w 10749643"/>
                    <a:gd name="connsiteY5" fmla="*/ 1047750 h 1893261"/>
                    <a:gd name="connsiteX6" fmla="*/ 1673679 w 10749643"/>
                    <a:gd name="connsiteY6" fmla="*/ 1034143 h 1893261"/>
                    <a:gd name="connsiteX7" fmla="*/ 1755322 w 10749643"/>
                    <a:gd name="connsiteY7" fmla="*/ 952500 h 1893261"/>
                    <a:gd name="connsiteX8" fmla="*/ 1782536 w 10749643"/>
                    <a:gd name="connsiteY8" fmla="*/ 911679 h 1893261"/>
                    <a:gd name="connsiteX9" fmla="*/ 1864179 w 10749643"/>
                    <a:gd name="connsiteY9" fmla="*/ 898072 h 1893261"/>
                    <a:gd name="connsiteX10" fmla="*/ 1918608 w 10749643"/>
                    <a:gd name="connsiteY10" fmla="*/ 884465 h 1893261"/>
                    <a:gd name="connsiteX11" fmla="*/ 1959429 w 10749643"/>
                    <a:gd name="connsiteY11" fmla="*/ 870858 h 1893261"/>
                    <a:gd name="connsiteX12" fmla="*/ 2054679 w 10749643"/>
                    <a:gd name="connsiteY12" fmla="*/ 857250 h 1893261"/>
                    <a:gd name="connsiteX13" fmla="*/ 2177143 w 10749643"/>
                    <a:gd name="connsiteY13" fmla="*/ 802822 h 1893261"/>
                    <a:gd name="connsiteX14" fmla="*/ 2245179 w 10749643"/>
                    <a:gd name="connsiteY14" fmla="*/ 762000 h 1893261"/>
                    <a:gd name="connsiteX15" fmla="*/ 2313215 w 10749643"/>
                    <a:gd name="connsiteY15" fmla="*/ 734786 h 1893261"/>
                    <a:gd name="connsiteX16" fmla="*/ 2408465 w 10749643"/>
                    <a:gd name="connsiteY16" fmla="*/ 666750 h 1893261"/>
                    <a:gd name="connsiteX17" fmla="*/ 2449286 w 10749643"/>
                    <a:gd name="connsiteY17" fmla="*/ 639536 h 1893261"/>
                    <a:gd name="connsiteX18" fmla="*/ 2735036 w 10749643"/>
                    <a:gd name="connsiteY18" fmla="*/ 612322 h 1893261"/>
                    <a:gd name="connsiteX19" fmla="*/ 2979965 w 10749643"/>
                    <a:gd name="connsiteY19" fmla="*/ 585108 h 1893261"/>
                    <a:gd name="connsiteX20" fmla="*/ 3170465 w 10749643"/>
                    <a:gd name="connsiteY20" fmla="*/ 544286 h 1893261"/>
                    <a:gd name="connsiteX21" fmla="*/ 3551465 w 10749643"/>
                    <a:gd name="connsiteY21" fmla="*/ 517072 h 1893261"/>
                    <a:gd name="connsiteX22" fmla="*/ 3660322 w 10749643"/>
                    <a:gd name="connsiteY22" fmla="*/ 489858 h 1893261"/>
                    <a:gd name="connsiteX23" fmla="*/ 3810000 w 10749643"/>
                    <a:gd name="connsiteY23" fmla="*/ 449036 h 1893261"/>
                    <a:gd name="connsiteX24" fmla="*/ 3918858 w 10749643"/>
                    <a:gd name="connsiteY24" fmla="*/ 435429 h 1893261"/>
                    <a:gd name="connsiteX25" fmla="*/ 4286250 w 10749643"/>
                    <a:gd name="connsiteY25" fmla="*/ 408215 h 1893261"/>
                    <a:gd name="connsiteX26" fmla="*/ 4367893 w 10749643"/>
                    <a:gd name="connsiteY26" fmla="*/ 353786 h 1893261"/>
                    <a:gd name="connsiteX27" fmla="*/ 4422322 w 10749643"/>
                    <a:gd name="connsiteY27" fmla="*/ 340179 h 1893261"/>
                    <a:gd name="connsiteX28" fmla="*/ 4572000 w 10749643"/>
                    <a:gd name="connsiteY28" fmla="*/ 285750 h 1893261"/>
                    <a:gd name="connsiteX29" fmla="*/ 4653643 w 10749643"/>
                    <a:gd name="connsiteY29" fmla="*/ 231322 h 1893261"/>
                    <a:gd name="connsiteX30" fmla="*/ 4816929 w 10749643"/>
                    <a:gd name="connsiteY30" fmla="*/ 190500 h 1893261"/>
                    <a:gd name="connsiteX31" fmla="*/ 5238750 w 10749643"/>
                    <a:gd name="connsiteY31" fmla="*/ 204108 h 1893261"/>
                    <a:gd name="connsiteX32" fmla="*/ 5388429 w 10749643"/>
                    <a:gd name="connsiteY32" fmla="*/ 217715 h 1893261"/>
                    <a:gd name="connsiteX33" fmla="*/ 5619750 w 10749643"/>
                    <a:gd name="connsiteY33" fmla="*/ 231322 h 1893261"/>
                    <a:gd name="connsiteX34" fmla="*/ 5715000 w 10749643"/>
                    <a:gd name="connsiteY34" fmla="*/ 285750 h 1893261"/>
                    <a:gd name="connsiteX35" fmla="*/ 5810250 w 10749643"/>
                    <a:gd name="connsiteY35" fmla="*/ 299358 h 1893261"/>
                    <a:gd name="connsiteX36" fmla="*/ 6136822 w 10749643"/>
                    <a:gd name="connsiteY36" fmla="*/ 285750 h 1893261"/>
                    <a:gd name="connsiteX37" fmla="*/ 6177643 w 10749643"/>
                    <a:gd name="connsiteY37" fmla="*/ 204108 h 1893261"/>
                    <a:gd name="connsiteX38" fmla="*/ 6286500 w 10749643"/>
                    <a:gd name="connsiteY38" fmla="*/ 81643 h 1893261"/>
                    <a:gd name="connsiteX39" fmla="*/ 6395358 w 10749643"/>
                    <a:gd name="connsiteY39" fmla="*/ 0 h 1893261"/>
                    <a:gd name="connsiteX40" fmla="*/ 6436179 w 10749643"/>
                    <a:gd name="connsiteY40" fmla="*/ 13608 h 1893261"/>
                    <a:gd name="connsiteX41" fmla="*/ 6504215 w 10749643"/>
                    <a:gd name="connsiteY41" fmla="*/ 27215 h 1893261"/>
                    <a:gd name="connsiteX42" fmla="*/ 6517822 w 10749643"/>
                    <a:gd name="connsiteY42" fmla="*/ 68036 h 1893261"/>
                    <a:gd name="connsiteX43" fmla="*/ 6640286 w 10749643"/>
                    <a:gd name="connsiteY43" fmla="*/ 108858 h 1893261"/>
                    <a:gd name="connsiteX44" fmla="*/ 6735536 w 10749643"/>
                    <a:gd name="connsiteY44" fmla="*/ 149679 h 1893261"/>
                    <a:gd name="connsiteX45" fmla="*/ 6844393 w 10749643"/>
                    <a:gd name="connsiteY45" fmla="*/ 204108 h 1893261"/>
                    <a:gd name="connsiteX46" fmla="*/ 7252608 w 10749643"/>
                    <a:gd name="connsiteY46" fmla="*/ 231322 h 1893261"/>
                    <a:gd name="connsiteX47" fmla="*/ 7375072 w 10749643"/>
                    <a:gd name="connsiteY47" fmla="*/ 272143 h 1893261"/>
                    <a:gd name="connsiteX48" fmla="*/ 7620000 w 10749643"/>
                    <a:gd name="connsiteY48" fmla="*/ 312965 h 1893261"/>
                    <a:gd name="connsiteX49" fmla="*/ 7878536 w 10749643"/>
                    <a:gd name="connsiteY49" fmla="*/ 258536 h 1893261"/>
                    <a:gd name="connsiteX50" fmla="*/ 7919358 w 10749643"/>
                    <a:gd name="connsiteY50" fmla="*/ 231322 h 1893261"/>
                    <a:gd name="connsiteX51" fmla="*/ 8096250 w 10749643"/>
                    <a:gd name="connsiteY51" fmla="*/ 244929 h 1893261"/>
                    <a:gd name="connsiteX52" fmla="*/ 8164286 w 10749643"/>
                    <a:gd name="connsiteY52" fmla="*/ 312965 h 1893261"/>
                    <a:gd name="connsiteX53" fmla="*/ 8259536 w 10749643"/>
                    <a:gd name="connsiteY53" fmla="*/ 381000 h 1893261"/>
                    <a:gd name="connsiteX54" fmla="*/ 8313965 w 10749643"/>
                    <a:gd name="connsiteY54" fmla="*/ 489858 h 1893261"/>
                    <a:gd name="connsiteX55" fmla="*/ 8368393 w 10749643"/>
                    <a:gd name="connsiteY55" fmla="*/ 571500 h 1893261"/>
                    <a:gd name="connsiteX56" fmla="*/ 8382000 w 10749643"/>
                    <a:gd name="connsiteY56" fmla="*/ 625929 h 1893261"/>
                    <a:gd name="connsiteX57" fmla="*/ 8463643 w 10749643"/>
                    <a:gd name="connsiteY57" fmla="*/ 680358 h 1893261"/>
                    <a:gd name="connsiteX58" fmla="*/ 8531679 w 10749643"/>
                    <a:gd name="connsiteY58" fmla="*/ 748393 h 1893261"/>
                    <a:gd name="connsiteX59" fmla="*/ 8586108 w 10749643"/>
                    <a:gd name="connsiteY59" fmla="*/ 816429 h 1893261"/>
                    <a:gd name="connsiteX60" fmla="*/ 8599715 w 10749643"/>
                    <a:gd name="connsiteY60" fmla="*/ 857250 h 1893261"/>
                    <a:gd name="connsiteX61" fmla="*/ 8654143 w 10749643"/>
                    <a:gd name="connsiteY61" fmla="*/ 952500 h 1893261"/>
                    <a:gd name="connsiteX62" fmla="*/ 8722179 w 10749643"/>
                    <a:gd name="connsiteY62" fmla="*/ 1129393 h 1893261"/>
                    <a:gd name="connsiteX63" fmla="*/ 8749393 w 10749643"/>
                    <a:gd name="connsiteY63" fmla="*/ 1156608 h 1893261"/>
                    <a:gd name="connsiteX64" fmla="*/ 8763000 w 10749643"/>
                    <a:gd name="connsiteY64" fmla="*/ 1211036 h 1893261"/>
                    <a:gd name="connsiteX65" fmla="*/ 8885465 w 10749643"/>
                    <a:gd name="connsiteY65" fmla="*/ 1306286 h 1893261"/>
                    <a:gd name="connsiteX66" fmla="*/ 8926286 w 10749643"/>
                    <a:gd name="connsiteY66" fmla="*/ 1333500 h 1893261"/>
                    <a:gd name="connsiteX67" fmla="*/ 9007929 w 10749643"/>
                    <a:gd name="connsiteY67" fmla="*/ 1347108 h 1893261"/>
                    <a:gd name="connsiteX68" fmla="*/ 9021536 w 10749643"/>
                    <a:gd name="connsiteY68" fmla="*/ 1387929 h 1893261"/>
                    <a:gd name="connsiteX69" fmla="*/ 9075965 w 10749643"/>
                    <a:gd name="connsiteY69" fmla="*/ 1401536 h 1893261"/>
                    <a:gd name="connsiteX70" fmla="*/ 9103179 w 10749643"/>
                    <a:gd name="connsiteY70" fmla="*/ 1442358 h 1893261"/>
                    <a:gd name="connsiteX71" fmla="*/ 9144000 w 10749643"/>
                    <a:gd name="connsiteY71" fmla="*/ 1455965 h 1893261"/>
                    <a:gd name="connsiteX72" fmla="*/ 9470572 w 10749643"/>
                    <a:gd name="connsiteY72" fmla="*/ 1496786 h 1893261"/>
                    <a:gd name="connsiteX73" fmla="*/ 9525000 w 10749643"/>
                    <a:gd name="connsiteY73" fmla="*/ 1510393 h 1893261"/>
                    <a:gd name="connsiteX74" fmla="*/ 9593036 w 10749643"/>
                    <a:gd name="connsiteY74" fmla="*/ 1524000 h 1893261"/>
                    <a:gd name="connsiteX75" fmla="*/ 9633858 w 10749643"/>
                    <a:gd name="connsiteY75" fmla="*/ 1537608 h 1893261"/>
                    <a:gd name="connsiteX76" fmla="*/ 9715500 w 10749643"/>
                    <a:gd name="connsiteY76" fmla="*/ 1592036 h 1893261"/>
                    <a:gd name="connsiteX77" fmla="*/ 9797143 w 10749643"/>
                    <a:gd name="connsiteY77" fmla="*/ 1646465 h 1893261"/>
                    <a:gd name="connsiteX78" fmla="*/ 9837965 w 10749643"/>
                    <a:gd name="connsiteY78" fmla="*/ 1673679 h 1893261"/>
                    <a:gd name="connsiteX79" fmla="*/ 9946822 w 10749643"/>
                    <a:gd name="connsiteY79" fmla="*/ 1700893 h 1893261"/>
                    <a:gd name="connsiteX80" fmla="*/ 10014858 w 10749643"/>
                    <a:gd name="connsiteY80" fmla="*/ 1796143 h 1893261"/>
                    <a:gd name="connsiteX81" fmla="*/ 10042072 w 10749643"/>
                    <a:gd name="connsiteY81" fmla="*/ 1823358 h 1893261"/>
                    <a:gd name="connsiteX82" fmla="*/ 10082893 w 10749643"/>
                    <a:gd name="connsiteY82" fmla="*/ 1850572 h 1893261"/>
                    <a:gd name="connsiteX83" fmla="*/ 10191750 w 10749643"/>
                    <a:gd name="connsiteY83" fmla="*/ 1877786 h 1893261"/>
                    <a:gd name="connsiteX84" fmla="*/ 10232572 w 10749643"/>
                    <a:gd name="connsiteY84" fmla="*/ 1891393 h 1893261"/>
                    <a:gd name="connsiteX85" fmla="*/ 10749643 w 10749643"/>
                    <a:gd name="connsiteY85" fmla="*/ 1891393 h 1893261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  <a:cxn ang="0">
                      <a:pos x="connsiteX5" y="connsiteY5"/>
                    </a:cxn>
                    <a:cxn ang="0">
                      <a:pos x="connsiteX6" y="connsiteY6"/>
                    </a:cxn>
                    <a:cxn ang="0">
                      <a:pos x="connsiteX7" y="connsiteY7"/>
                    </a:cxn>
                    <a:cxn ang="0">
                      <a:pos x="connsiteX8" y="connsiteY8"/>
                    </a:cxn>
                    <a:cxn ang="0">
                      <a:pos x="connsiteX9" y="connsiteY9"/>
                    </a:cxn>
                    <a:cxn ang="0">
                      <a:pos x="connsiteX10" y="connsiteY10"/>
                    </a:cxn>
                    <a:cxn ang="0">
                      <a:pos x="connsiteX11" y="connsiteY11"/>
                    </a:cxn>
                    <a:cxn ang="0">
                      <a:pos x="connsiteX12" y="connsiteY12"/>
                    </a:cxn>
                    <a:cxn ang="0">
                      <a:pos x="connsiteX13" y="connsiteY13"/>
                    </a:cxn>
                    <a:cxn ang="0">
                      <a:pos x="connsiteX14" y="connsiteY14"/>
                    </a:cxn>
                    <a:cxn ang="0">
                      <a:pos x="connsiteX15" y="connsiteY15"/>
                    </a:cxn>
                    <a:cxn ang="0">
                      <a:pos x="connsiteX16" y="connsiteY16"/>
                    </a:cxn>
                    <a:cxn ang="0">
                      <a:pos x="connsiteX17" y="connsiteY17"/>
                    </a:cxn>
                    <a:cxn ang="0">
                      <a:pos x="connsiteX18" y="connsiteY18"/>
                    </a:cxn>
                    <a:cxn ang="0">
                      <a:pos x="connsiteX19" y="connsiteY19"/>
                    </a:cxn>
                    <a:cxn ang="0">
                      <a:pos x="connsiteX20" y="connsiteY20"/>
                    </a:cxn>
                    <a:cxn ang="0">
                      <a:pos x="connsiteX21" y="connsiteY21"/>
                    </a:cxn>
                    <a:cxn ang="0">
                      <a:pos x="connsiteX22" y="connsiteY22"/>
                    </a:cxn>
                    <a:cxn ang="0">
                      <a:pos x="connsiteX23" y="connsiteY23"/>
                    </a:cxn>
                    <a:cxn ang="0">
                      <a:pos x="connsiteX24" y="connsiteY24"/>
                    </a:cxn>
                    <a:cxn ang="0">
                      <a:pos x="connsiteX25" y="connsiteY25"/>
                    </a:cxn>
                    <a:cxn ang="0">
                      <a:pos x="connsiteX26" y="connsiteY26"/>
                    </a:cxn>
                    <a:cxn ang="0">
                      <a:pos x="connsiteX27" y="connsiteY27"/>
                    </a:cxn>
                    <a:cxn ang="0">
                      <a:pos x="connsiteX28" y="connsiteY28"/>
                    </a:cxn>
                    <a:cxn ang="0">
                      <a:pos x="connsiteX29" y="connsiteY29"/>
                    </a:cxn>
                    <a:cxn ang="0">
                      <a:pos x="connsiteX30" y="connsiteY30"/>
                    </a:cxn>
                    <a:cxn ang="0">
                      <a:pos x="connsiteX31" y="connsiteY31"/>
                    </a:cxn>
                    <a:cxn ang="0">
                      <a:pos x="connsiteX32" y="connsiteY32"/>
                    </a:cxn>
                    <a:cxn ang="0">
                      <a:pos x="connsiteX33" y="connsiteY33"/>
                    </a:cxn>
                    <a:cxn ang="0">
                      <a:pos x="connsiteX34" y="connsiteY34"/>
                    </a:cxn>
                    <a:cxn ang="0">
                      <a:pos x="connsiteX35" y="connsiteY35"/>
                    </a:cxn>
                    <a:cxn ang="0">
                      <a:pos x="connsiteX36" y="connsiteY36"/>
                    </a:cxn>
                    <a:cxn ang="0">
                      <a:pos x="connsiteX37" y="connsiteY37"/>
                    </a:cxn>
                    <a:cxn ang="0">
                      <a:pos x="connsiteX38" y="connsiteY38"/>
                    </a:cxn>
                    <a:cxn ang="0">
                      <a:pos x="connsiteX39" y="connsiteY39"/>
                    </a:cxn>
                    <a:cxn ang="0">
                      <a:pos x="connsiteX40" y="connsiteY40"/>
                    </a:cxn>
                    <a:cxn ang="0">
                      <a:pos x="connsiteX41" y="connsiteY41"/>
                    </a:cxn>
                    <a:cxn ang="0">
                      <a:pos x="connsiteX42" y="connsiteY42"/>
                    </a:cxn>
                    <a:cxn ang="0">
                      <a:pos x="connsiteX43" y="connsiteY43"/>
                    </a:cxn>
                    <a:cxn ang="0">
                      <a:pos x="connsiteX44" y="connsiteY44"/>
                    </a:cxn>
                    <a:cxn ang="0">
                      <a:pos x="connsiteX45" y="connsiteY45"/>
                    </a:cxn>
                    <a:cxn ang="0">
                      <a:pos x="connsiteX46" y="connsiteY46"/>
                    </a:cxn>
                    <a:cxn ang="0">
                      <a:pos x="connsiteX47" y="connsiteY47"/>
                    </a:cxn>
                    <a:cxn ang="0">
                      <a:pos x="connsiteX48" y="connsiteY48"/>
                    </a:cxn>
                    <a:cxn ang="0">
                      <a:pos x="connsiteX49" y="connsiteY49"/>
                    </a:cxn>
                    <a:cxn ang="0">
                      <a:pos x="connsiteX50" y="connsiteY50"/>
                    </a:cxn>
                    <a:cxn ang="0">
                      <a:pos x="connsiteX51" y="connsiteY51"/>
                    </a:cxn>
                    <a:cxn ang="0">
                      <a:pos x="connsiteX52" y="connsiteY52"/>
                    </a:cxn>
                    <a:cxn ang="0">
                      <a:pos x="connsiteX53" y="connsiteY53"/>
                    </a:cxn>
                    <a:cxn ang="0">
                      <a:pos x="connsiteX54" y="connsiteY54"/>
                    </a:cxn>
                    <a:cxn ang="0">
                      <a:pos x="connsiteX55" y="connsiteY55"/>
                    </a:cxn>
                    <a:cxn ang="0">
                      <a:pos x="connsiteX56" y="connsiteY56"/>
                    </a:cxn>
                    <a:cxn ang="0">
                      <a:pos x="connsiteX57" y="connsiteY57"/>
                    </a:cxn>
                    <a:cxn ang="0">
                      <a:pos x="connsiteX58" y="connsiteY58"/>
                    </a:cxn>
                    <a:cxn ang="0">
                      <a:pos x="connsiteX59" y="connsiteY59"/>
                    </a:cxn>
                    <a:cxn ang="0">
                      <a:pos x="connsiteX60" y="connsiteY60"/>
                    </a:cxn>
                    <a:cxn ang="0">
                      <a:pos x="connsiteX61" y="connsiteY61"/>
                    </a:cxn>
                    <a:cxn ang="0">
                      <a:pos x="connsiteX62" y="connsiteY62"/>
                    </a:cxn>
                    <a:cxn ang="0">
                      <a:pos x="connsiteX63" y="connsiteY63"/>
                    </a:cxn>
                    <a:cxn ang="0">
                      <a:pos x="connsiteX64" y="connsiteY64"/>
                    </a:cxn>
                    <a:cxn ang="0">
                      <a:pos x="connsiteX65" y="connsiteY65"/>
                    </a:cxn>
                    <a:cxn ang="0">
                      <a:pos x="connsiteX66" y="connsiteY66"/>
                    </a:cxn>
                    <a:cxn ang="0">
                      <a:pos x="connsiteX67" y="connsiteY67"/>
                    </a:cxn>
                    <a:cxn ang="0">
                      <a:pos x="connsiteX68" y="connsiteY68"/>
                    </a:cxn>
                    <a:cxn ang="0">
                      <a:pos x="connsiteX69" y="connsiteY69"/>
                    </a:cxn>
                    <a:cxn ang="0">
                      <a:pos x="connsiteX70" y="connsiteY70"/>
                    </a:cxn>
                    <a:cxn ang="0">
                      <a:pos x="connsiteX71" y="connsiteY71"/>
                    </a:cxn>
                    <a:cxn ang="0">
                      <a:pos x="connsiteX72" y="connsiteY72"/>
                    </a:cxn>
                    <a:cxn ang="0">
                      <a:pos x="connsiteX73" y="connsiteY73"/>
                    </a:cxn>
                    <a:cxn ang="0">
                      <a:pos x="connsiteX74" y="connsiteY74"/>
                    </a:cxn>
                    <a:cxn ang="0">
                      <a:pos x="connsiteX75" y="connsiteY75"/>
                    </a:cxn>
                    <a:cxn ang="0">
                      <a:pos x="connsiteX76" y="connsiteY76"/>
                    </a:cxn>
                    <a:cxn ang="0">
                      <a:pos x="connsiteX77" y="connsiteY77"/>
                    </a:cxn>
                    <a:cxn ang="0">
                      <a:pos x="connsiteX78" y="connsiteY78"/>
                    </a:cxn>
                    <a:cxn ang="0">
                      <a:pos x="connsiteX79" y="connsiteY79"/>
                    </a:cxn>
                    <a:cxn ang="0">
                      <a:pos x="connsiteX80" y="connsiteY80"/>
                    </a:cxn>
                    <a:cxn ang="0">
                      <a:pos x="connsiteX81" y="connsiteY81"/>
                    </a:cxn>
                    <a:cxn ang="0">
                      <a:pos x="connsiteX82" y="connsiteY82"/>
                    </a:cxn>
                    <a:cxn ang="0">
                      <a:pos x="connsiteX83" y="connsiteY83"/>
                    </a:cxn>
                    <a:cxn ang="0">
                      <a:pos x="connsiteX84" y="connsiteY84"/>
                    </a:cxn>
                    <a:cxn ang="0">
                      <a:pos x="connsiteX85" y="connsiteY85"/>
                    </a:cxn>
                  </a:cxnLst>
                  <a:rect l="l" t="t" r="r" b="b"/>
                  <a:pathLst>
                    <a:path w="10749643" h="1893261">
                      <a:moveTo>
                        <a:pt x="0" y="1279072"/>
                      </a:moveTo>
                      <a:cubicBezTo>
                        <a:pt x="315492" y="1357943"/>
                        <a:pt x="152880" y="1327388"/>
                        <a:pt x="789215" y="1292679"/>
                      </a:cubicBezTo>
                      <a:cubicBezTo>
                        <a:pt x="813604" y="1291349"/>
                        <a:pt x="834572" y="1274536"/>
                        <a:pt x="857250" y="1265465"/>
                      </a:cubicBezTo>
                      <a:cubicBezTo>
                        <a:pt x="902607" y="1229179"/>
                        <a:pt x="952249" y="1197681"/>
                        <a:pt x="993322" y="1156608"/>
                      </a:cubicBezTo>
                      <a:cubicBezTo>
                        <a:pt x="1020536" y="1129394"/>
                        <a:pt x="1042942" y="1096314"/>
                        <a:pt x="1074965" y="1074965"/>
                      </a:cubicBezTo>
                      <a:cubicBezTo>
                        <a:pt x="1088572" y="1065893"/>
                        <a:pt x="1099470" y="1048862"/>
                        <a:pt x="1115786" y="1047750"/>
                      </a:cubicBezTo>
                      <a:cubicBezTo>
                        <a:pt x="1301375" y="1035096"/>
                        <a:pt x="1487715" y="1038679"/>
                        <a:pt x="1673679" y="1034143"/>
                      </a:cubicBezTo>
                      <a:cubicBezTo>
                        <a:pt x="1737814" y="937941"/>
                        <a:pt x="1654055" y="1053767"/>
                        <a:pt x="1755322" y="952500"/>
                      </a:cubicBezTo>
                      <a:cubicBezTo>
                        <a:pt x="1766886" y="940936"/>
                        <a:pt x="1767909" y="918992"/>
                        <a:pt x="1782536" y="911679"/>
                      </a:cubicBezTo>
                      <a:cubicBezTo>
                        <a:pt x="1807213" y="899341"/>
                        <a:pt x="1837125" y="903483"/>
                        <a:pt x="1864179" y="898072"/>
                      </a:cubicBezTo>
                      <a:cubicBezTo>
                        <a:pt x="1882517" y="894404"/>
                        <a:pt x="1900626" y="889603"/>
                        <a:pt x="1918608" y="884465"/>
                      </a:cubicBezTo>
                      <a:cubicBezTo>
                        <a:pt x="1932399" y="880525"/>
                        <a:pt x="1945365" y="873671"/>
                        <a:pt x="1959429" y="870858"/>
                      </a:cubicBezTo>
                      <a:cubicBezTo>
                        <a:pt x="1990879" y="864568"/>
                        <a:pt x="2022929" y="861786"/>
                        <a:pt x="2054679" y="857250"/>
                      </a:cubicBezTo>
                      <a:cubicBezTo>
                        <a:pt x="2151020" y="793023"/>
                        <a:pt x="2024465" y="872221"/>
                        <a:pt x="2177143" y="802822"/>
                      </a:cubicBezTo>
                      <a:cubicBezTo>
                        <a:pt x="2201220" y="791878"/>
                        <a:pt x="2221523" y="773828"/>
                        <a:pt x="2245179" y="762000"/>
                      </a:cubicBezTo>
                      <a:cubicBezTo>
                        <a:pt x="2267026" y="751077"/>
                        <a:pt x="2291368" y="745709"/>
                        <a:pt x="2313215" y="734786"/>
                      </a:cubicBezTo>
                      <a:cubicBezTo>
                        <a:pt x="2334594" y="724097"/>
                        <a:pt x="2394084" y="677023"/>
                        <a:pt x="2408465" y="666750"/>
                      </a:cubicBezTo>
                      <a:cubicBezTo>
                        <a:pt x="2421772" y="657245"/>
                        <a:pt x="2433155" y="642224"/>
                        <a:pt x="2449286" y="639536"/>
                      </a:cubicBezTo>
                      <a:cubicBezTo>
                        <a:pt x="2543665" y="623806"/>
                        <a:pt x="2639854" y="622084"/>
                        <a:pt x="2735036" y="612322"/>
                      </a:cubicBezTo>
                      <a:lnTo>
                        <a:pt x="2979965" y="585108"/>
                      </a:lnTo>
                      <a:cubicBezTo>
                        <a:pt x="3037679" y="570679"/>
                        <a:pt x="3109397" y="549674"/>
                        <a:pt x="3170465" y="544286"/>
                      </a:cubicBezTo>
                      <a:cubicBezTo>
                        <a:pt x="3297296" y="533095"/>
                        <a:pt x="3424465" y="526143"/>
                        <a:pt x="3551465" y="517072"/>
                      </a:cubicBezTo>
                      <a:cubicBezTo>
                        <a:pt x="3587751" y="508001"/>
                        <a:pt x="3624238" y="499699"/>
                        <a:pt x="3660322" y="489858"/>
                      </a:cubicBezTo>
                      <a:cubicBezTo>
                        <a:pt x="3756376" y="463661"/>
                        <a:pt x="3635726" y="481712"/>
                        <a:pt x="3810000" y="449036"/>
                      </a:cubicBezTo>
                      <a:cubicBezTo>
                        <a:pt x="3845942" y="442297"/>
                        <a:pt x="3882423" y="438552"/>
                        <a:pt x="3918858" y="435429"/>
                      </a:cubicBezTo>
                      <a:cubicBezTo>
                        <a:pt x="4041209" y="424942"/>
                        <a:pt x="4163786" y="417286"/>
                        <a:pt x="4286250" y="408215"/>
                      </a:cubicBezTo>
                      <a:cubicBezTo>
                        <a:pt x="4413702" y="365732"/>
                        <a:pt x="4225197" y="435327"/>
                        <a:pt x="4367893" y="353786"/>
                      </a:cubicBezTo>
                      <a:cubicBezTo>
                        <a:pt x="4384130" y="344507"/>
                        <a:pt x="4404179" y="344715"/>
                        <a:pt x="4422322" y="340179"/>
                      </a:cubicBezTo>
                      <a:cubicBezTo>
                        <a:pt x="4654844" y="200668"/>
                        <a:pt x="4317361" y="391850"/>
                        <a:pt x="4572000" y="285750"/>
                      </a:cubicBezTo>
                      <a:cubicBezTo>
                        <a:pt x="4602191" y="273170"/>
                        <a:pt x="4622194" y="240307"/>
                        <a:pt x="4653643" y="231322"/>
                      </a:cubicBezTo>
                      <a:cubicBezTo>
                        <a:pt x="4771131" y="197754"/>
                        <a:pt x="4716514" y="210584"/>
                        <a:pt x="4816929" y="190500"/>
                      </a:cubicBezTo>
                      <a:lnTo>
                        <a:pt x="5238750" y="204108"/>
                      </a:lnTo>
                      <a:cubicBezTo>
                        <a:pt x="5288792" y="206491"/>
                        <a:pt x="5338458" y="214146"/>
                        <a:pt x="5388429" y="217715"/>
                      </a:cubicBezTo>
                      <a:cubicBezTo>
                        <a:pt x="5465473" y="223218"/>
                        <a:pt x="5542643" y="226786"/>
                        <a:pt x="5619750" y="231322"/>
                      </a:cubicBezTo>
                      <a:cubicBezTo>
                        <a:pt x="5645328" y="248374"/>
                        <a:pt x="5685786" y="277782"/>
                        <a:pt x="5715000" y="285750"/>
                      </a:cubicBezTo>
                      <a:cubicBezTo>
                        <a:pt x="5745942" y="294189"/>
                        <a:pt x="5778500" y="294822"/>
                        <a:pt x="5810250" y="299358"/>
                      </a:cubicBezTo>
                      <a:cubicBezTo>
                        <a:pt x="5919107" y="294822"/>
                        <a:pt x="6029137" y="302317"/>
                        <a:pt x="6136822" y="285750"/>
                      </a:cubicBezTo>
                      <a:cubicBezTo>
                        <a:pt x="6159098" y="282323"/>
                        <a:pt x="6170173" y="217180"/>
                        <a:pt x="6177643" y="204108"/>
                      </a:cubicBezTo>
                      <a:cubicBezTo>
                        <a:pt x="6208873" y="149457"/>
                        <a:pt x="6243208" y="129745"/>
                        <a:pt x="6286500" y="81643"/>
                      </a:cubicBezTo>
                      <a:cubicBezTo>
                        <a:pt x="6363274" y="-3661"/>
                        <a:pt x="6305888" y="22369"/>
                        <a:pt x="6395358" y="0"/>
                      </a:cubicBezTo>
                      <a:cubicBezTo>
                        <a:pt x="6408965" y="4536"/>
                        <a:pt x="6422264" y="10129"/>
                        <a:pt x="6436179" y="13608"/>
                      </a:cubicBezTo>
                      <a:cubicBezTo>
                        <a:pt x="6458616" y="19217"/>
                        <a:pt x="6484971" y="14386"/>
                        <a:pt x="6504215" y="27215"/>
                      </a:cubicBezTo>
                      <a:cubicBezTo>
                        <a:pt x="6516149" y="35171"/>
                        <a:pt x="6507680" y="57894"/>
                        <a:pt x="6517822" y="68036"/>
                      </a:cubicBezTo>
                      <a:cubicBezTo>
                        <a:pt x="6545989" y="96203"/>
                        <a:pt x="6605889" y="101978"/>
                        <a:pt x="6640286" y="108858"/>
                      </a:cubicBezTo>
                      <a:cubicBezTo>
                        <a:pt x="6672036" y="122465"/>
                        <a:pt x="6704640" y="134231"/>
                        <a:pt x="6735536" y="149679"/>
                      </a:cubicBezTo>
                      <a:cubicBezTo>
                        <a:pt x="6763480" y="163651"/>
                        <a:pt x="6806895" y="200699"/>
                        <a:pt x="6844393" y="204108"/>
                      </a:cubicBezTo>
                      <a:cubicBezTo>
                        <a:pt x="6980207" y="216455"/>
                        <a:pt x="7116536" y="222251"/>
                        <a:pt x="7252608" y="231322"/>
                      </a:cubicBezTo>
                      <a:cubicBezTo>
                        <a:pt x="7327977" y="281568"/>
                        <a:pt x="7257742" y="242810"/>
                        <a:pt x="7375072" y="272143"/>
                      </a:cubicBezTo>
                      <a:cubicBezTo>
                        <a:pt x="7575260" y="322191"/>
                        <a:pt x="7301076" y="286388"/>
                        <a:pt x="7620000" y="312965"/>
                      </a:cubicBezTo>
                      <a:cubicBezTo>
                        <a:pt x="7706179" y="294822"/>
                        <a:pt x="7793571" y="281708"/>
                        <a:pt x="7878536" y="258536"/>
                      </a:cubicBezTo>
                      <a:cubicBezTo>
                        <a:pt x="7894314" y="254233"/>
                        <a:pt x="7903036" y="232342"/>
                        <a:pt x="7919358" y="231322"/>
                      </a:cubicBezTo>
                      <a:cubicBezTo>
                        <a:pt x="7978381" y="227633"/>
                        <a:pt x="8037286" y="240393"/>
                        <a:pt x="8096250" y="244929"/>
                      </a:cubicBezTo>
                      <a:cubicBezTo>
                        <a:pt x="8118929" y="267608"/>
                        <a:pt x="8137600" y="295175"/>
                        <a:pt x="8164286" y="312965"/>
                      </a:cubicBezTo>
                      <a:cubicBezTo>
                        <a:pt x="8223978" y="352758"/>
                        <a:pt x="8192025" y="330367"/>
                        <a:pt x="8259536" y="381000"/>
                      </a:cubicBezTo>
                      <a:cubicBezTo>
                        <a:pt x="8312048" y="538538"/>
                        <a:pt x="8256966" y="413860"/>
                        <a:pt x="8313965" y="489858"/>
                      </a:cubicBezTo>
                      <a:cubicBezTo>
                        <a:pt x="8333589" y="516024"/>
                        <a:pt x="8368393" y="571500"/>
                        <a:pt x="8368393" y="571500"/>
                      </a:cubicBezTo>
                      <a:cubicBezTo>
                        <a:pt x="8372929" y="589643"/>
                        <a:pt x="8369685" y="611855"/>
                        <a:pt x="8382000" y="625929"/>
                      </a:cubicBezTo>
                      <a:cubicBezTo>
                        <a:pt x="8403538" y="650544"/>
                        <a:pt x="8463643" y="680358"/>
                        <a:pt x="8463643" y="680358"/>
                      </a:cubicBezTo>
                      <a:cubicBezTo>
                        <a:pt x="8492057" y="765600"/>
                        <a:pt x="8452552" y="679157"/>
                        <a:pt x="8531679" y="748393"/>
                      </a:cubicBezTo>
                      <a:cubicBezTo>
                        <a:pt x="8553536" y="767518"/>
                        <a:pt x="8567965" y="793750"/>
                        <a:pt x="8586108" y="816429"/>
                      </a:cubicBezTo>
                      <a:cubicBezTo>
                        <a:pt x="8590644" y="830036"/>
                        <a:pt x="8594065" y="844067"/>
                        <a:pt x="8599715" y="857250"/>
                      </a:cubicBezTo>
                      <a:cubicBezTo>
                        <a:pt x="8620432" y="905591"/>
                        <a:pt x="8626811" y="911502"/>
                        <a:pt x="8654143" y="952500"/>
                      </a:cubicBezTo>
                      <a:cubicBezTo>
                        <a:pt x="8679060" y="1052167"/>
                        <a:pt x="8668275" y="1053926"/>
                        <a:pt x="8722179" y="1129393"/>
                      </a:cubicBezTo>
                      <a:cubicBezTo>
                        <a:pt x="8729636" y="1139832"/>
                        <a:pt x="8740322" y="1147536"/>
                        <a:pt x="8749393" y="1156608"/>
                      </a:cubicBezTo>
                      <a:cubicBezTo>
                        <a:pt x="8753929" y="1174751"/>
                        <a:pt x="8752276" y="1195716"/>
                        <a:pt x="8763000" y="1211036"/>
                      </a:cubicBezTo>
                      <a:cubicBezTo>
                        <a:pt x="8818870" y="1290850"/>
                        <a:pt x="8821516" y="1284970"/>
                        <a:pt x="8885465" y="1306286"/>
                      </a:cubicBezTo>
                      <a:cubicBezTo>
                        <a:pt x="8899072" y="1315357"/>
                        <a:pt x="8910772" y="1328328"/>
                        <a:pt x="8926286" y="1333500"/>
                      </a:cubicBezTo>
                      <a:cubicBezTo>
                        <a:pt x="8952460" y="1342225"/>
                        <a:pt x="8983974" y="1333420"/>
                        <a:pt x="9007929" y="1347108"/>
                      </a:cubicBezTo>
                      <a:cubicBezTo>
                        <a:pt x="9020382" y="1354224"/>
                        <a:pt x="9010336" y="1378969"/>
                        <a:pt x="9021536" y="1387929"/>
                      </a:cubicBezTo>
                      <a:cubicBezTo>
                        <a:pt x="9036139" y="1399612"/>
                        <a:pt x="9057822" y="1397000"/>
                        <a:pt x="9075965" y="1401536"/>
                      </a:cubicBezTo>
                      <a:cubicBezTo>
                        <a:pt x="9085036" y="1415143"/>
                        <a:pt x="9090409" y="1432142"/>
                        <a:pt x="9103179" y="1442358"/>
                      </a:cubicBezTo>
                      <a:cubicBezTo>
                        <a:pt x="9114379" y="1451318"/>
                        <a:pt x="9129812" y="1453863"/>
                        <a:pt x="9144000" y="1455965"/>
                      </a:cubicBezTo>
                      <a:cubicBezTo>
                        <a:pt x="9252520" y="1472042"/>
                        <a:pt x="9361715" y="1483179"/>
                        <a:pt x="9470572" y="1496786"/>
                      </a:cubicBezTo>
                      <a:cubicBezTo>
                        <a:pt x="9488715" y="1501322"/>
                        <a:pt x="9506744" y="1506336"/>
                        <a:pt x="9525000" y="1510393"/>
                      </a:cubicBezTo>
                      <a:cubicBezTo>
                        <a:pt x="9547577" y="1515410"/>
                        <a:pt x="9570599" y="1518391"/>
                        <a:pt x="9593036" y="1524000"/>
                      </a:cubicBezTo>
                      <a:cubicBezTo>
                        <a:pt x="9606951" y="1527479"/>
                        <a:pt x="9620251" y="1533072"/>
                        <a:pt x="9633858" y="1537608"/>
                      </a:cubicBezTo>
                      <a:cubicBezTo>
                        <a:pt x="9724452" y="1628202"/>
                        <a:pt x="9626884" y="1542805"/>
                        <a:pt x="9715500" y="1592036"/>
                      </a:cubicBezTo>
                      <a:cubicBezTo>
                        <a:pt x="9744092" y="1607920"/>
                        <a:pt x="9769929" y="1628322"/>
                        <a:pt x="9797143" y="1646465"/>
                      </a:cubicBezTo>
                      <a:cubicBezTo>
                        <a:pt x="9810750" y="1655536"/>
                        <a:pt x="9822450" y="1668507"/>
                        <a:pt x="9837965" y="1673679"/>
                      </a:cubicBezTo>
                      <a:cubicBezTo>
                        <a:pt x="9900727" y="1694600"/>
                        <a:pt x="9864721" y="1684473"/>
                        <a:pt x="9946822" y="1700893"/>
                      </a:cubicBezTo>
                      <a:cubicBezTo>
                        <a:pt x="9970393" y="1736251"/>
                        <a:pt x="9986720" y="1762377"/>
                        <a:pt x="10014858" y="1796143"/>
                      </a:cubicBezTo>
                      <a:cubicBezTo>
                        <a:pt x="10023071" y="1805999"/>
                        <a:pt x="10032054" y="1815344"/>
                        <a:pt x="10042072" y="1823358"/>
                      </a:cubicBezTo>
                      <a:cubicBezTo>
                        <a:pt x="10054842" y="1833574"/>
                        <a:pt x="10068266" y="1843259"/>
                        <a:pt x="10082893" y="1850572"/>
                      </a:cubicBezTo>
                      <a:cubicBezTo>
                        <a:pt x="10113996" y="1866123"/>
                        <a:pt x="10160699" y="1870023"/>
                        <a:pt x="10191750" y="1877786"/>
                      </a:cubicBezTo>
                      <a:cubicBezTo>
                        <a:pt x="10205665" y="1881265"/>
                        <a:pt x="10218233" y="1891043"/>
                        <a:pt x="10232572" y="1891393"/>
                      </a:cubicBezTo>
                      <a:cubicBezTo>
                        <a:pt x="10404878" y="1895596"/>
                        <a:pt x="10577286" y="1891393"/>
                        <a:pt x="10749643" y="1891393"/>
                      </a:cubicBezTo>
                    </a:path>
                  </a:pathLst>
                </a:custGeom>
                <a:noFill/>
                <a:ln w="28575">
                  <a:solidFill>
                    <a:schemeClr val="bg1">
                      <a:lumMod val="50000"/>
                    </a:schemeClr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en-US" sz="1100"/>
                </a:p>
              </xdr:txBody>
            </xdr:sp>
            <xdr:grpSp>
              <xdr:nvGrpSpPr>
                <xdr:cNvPr id="31" name="Group 30">
                  <a:extLst>
                    <a:ext uri="{FF2B5EF4-FFF2-40B4-BE49-F238E27FC236}">
                      <a16:creationId xmlns:a16="http://schemas.microsoft.com/office/drawing/2014/main" id="{00000000-0008-0000-0300-00001F000000}"/>
                    </a:ext>
                  </a:extLst>
                </xdr:cNvPr>
                <xdr:cNvGrpSpPr/>
              </xdr:nvGrpSpPr>
              <xdr:grpSpPr>
                <a:xfrm>
                  <a:off x="789214" y="13334999"/>
                  <a:ext cx="10730593" cy="13607"/>
                  <a:chOff x="789214" y="13334999"/>
                  <a:chExt cx="10730593" cy="13607"/>
                </a:xfrm>
              </xdr:grpSpPr>
              <xdr:cxnSp macro="">
                <xdr:nvCxnSpPr>
                  <xdr:cNvPr id="14" name="Straight Connector 13">
                    <a:extLst>
                      <a:ext uri="{FF2B5EF4-FFF2-40B4-BE49-F238E27FC236}">
                        <a16:creationId xmlns:a16="http://schemas.microsoft.com/office/drawing/2014/main" id="{00000000-0008-0000-0300-00000E000000}"/>
                      </a:ext>
                    </a:extLst>
                  </xdr:cNvPr>
                  <xdr:cNvCxnSpPr/>
                </xdr:nvCxnSpPr>
                <xdr:spPr>
                  <a:xfrm>
                    <a:off x="789214" y="13348606"/>
                    <a:ext cx="1097280" cy="0"/>
                  </a:xfrm>
                  <a:prstGeom prst="line">
                    <a:avLst/>
                  </a:prstGeom>
                  <a:ln w="28575">
                    <a:solidFill>
                      <a:srgbClr val="00B0F0"/>
                    </a:solidFill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  <xdr:cxnSp macro="">
                <xdr:nvCxnSpPr>
                  <xdr:cNvPr id="29" name="Straight Connector 28">
                    <a:extLst>
                      <a:ext uri="{FF2B5EF4-FFF2-40B4-BE49-F238E27FC236}">
                        <a16:creationId xmlns:a16="http://schemas.microsoft.com/office/drawing/2014/main" id="{00000000-0008-0000-0300-00001D000000}"/>
                      </a:ext>
                    </a:extLst>
                  </xdr:cNvPr>
                  <xdr:cNvCxnSpPr/>
                </xdr:nvCxnSpPr>
                <xdr:spPr>
                  <a:xfrm flipV="1">
                    <a:off x="1918607" y="13334999"/>
                    <a:ext cx="9601200" cy="13607"/>
                  </a:xfrm>
                  <a:prstGeom prst="line">
                    <a:avLst/>
                  </a:prstGeom>
                  <a:ln w="19050">
                    <a:solidFill>
                      <a:srgbClr val="00B0F0"/>
                    </a:solidFill>
                    <a:prstDash val="sysDash"/>
                  </a:ln>
                </xdr:spPr>
                <xdr:style>
                  <a:lnRef idx="1">
                    <a:schemeClr val="accent1"/>
                  </a:lnRef>
                  <a:fillRef idx="0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tx1"/>
                  </a:fontRef>
                </xdr:style>
              </xdr:cxnSp>
            </xdr:grpSp>
            <xdr:sp macro="" textlink="">
              <xdr:nvSpPr>
                <xdr:cNvPr id="37" name="TextBox 36">
                  <a:extLst>
                    <a:ext uri="{FF2B5EF4-FFF2-40B4-BE49-F238E27FC236}">
                      <a16:creationId xmlns:a16="http://schemas.microsoft.com/office/drawing/2014/main" id="{00000000-0008-0000-0300-000025000000}"/>
                    </a:ext>
                  </a:extLst>
                </xdr:cNvPr>
                <xdr:cNvSpPr txBox="1"/>
              </xdr:nvSpPr>
              <xdr:spPr>
                <a:xfrm rot="158970">
                  <a:off x="5635083" y="13647965"/>
                  <a:ext cx="1983235" cy="264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1100">
                      <a:solidFill>
                        <a:srgbClr val="00B050"/>
                      </a:solidFill>
                    </a:rPr>
                    <a:t>gravity</a:t>
                  </a:r>
                  <a:r>
                    <a:rPr lang="en-US" sz="1100" baseline="0">
                      <a:solidFill>
                        <a:srgbClr val="00B050"/>
                      </a:solidFill>
                    </a:rPr>
                    <a:t> fed o</a:t>
                  </a:r>
                  <a:r>
                    <a:rPr lang="en-US" sz="1100">
                      <a:solidFill>
                        <a:srgbClr val="00B050"/>
                      </a:solidFill>
                    </a:rPr>
                    <a:t>cean</a:t>
                  </a:r>
                  <a:r>
                    <a:rPr lang="en-US" sz="1100" baseline="0">
                      <a:solidFill>
                        <a:srgbClr val="00B050"/>
                      </a:solidFill>
                    </a:rPr>
                    <a:t> water inflows</a:t>
                  </a:r>
                  <a:endParaRPr lang="en-US" sz="1100">
                    <a:solidFill>
                      <a:srgbClr val="00B050"/>
                    </a:solidFill>
                  </a:endParaRPr>
                </a:p>
              </xdr:txBody>
            </xdr:sp>
            <xdr:sp macro="" textlink="">
              <xdr:nvSpPr>
                <xdr:cNvPr id="38" name="TextBox 37">
                  <a:extLst>
                    <a:ext uri="{FF2B5EF4-FFF2-40B4-BE49-F238E27FC236}">
                      <a16:creationId xmlns:a16="http://schemas.microsoft.com/office/drawing/2014/main" id="{00000000-0008-0000-0300-000026000000}"/>
                    </a:ext>
                  </a:extLst>
                </xdr:cNvPr>
                <xdr:cNvSpPr txBox="1"/>
              </xdr:nvSpPr>
              <xdr:spPr>
                <a:xfrm rot="21360000">
                  <a:off x="5649936" y="12766221"/>
                  <a:ext cx="1659621" cy="264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1100" baseline="0">
                      <a:solidFill>
                        <a:srgbClr val="FF0000"/>
                      </a:solidFill>
                    </a:rPr>
                    <a:t>gravity fed brine outflows</a:t>
                  </a:r>
                  <a:endParaRPr lang="en-US" sz="1100">
                    <a:solidFill>
                      <a:srgbClr val="FF0000"/>
                    </a:solidFill>
                  </a:endParaRPr>
                </a:p>
              </xdr:txBody>
            </xdr:sp>
            <xdr:sp macro="" textlink="">
              <xdr:nvSpPr>
                <xdr:cNvPr id="43" name="TextBox 42">
                  <a:extLst>
                    <a:ext uri="{FF2B5EF4-FFF2-40B4-BE49-F238E27FC236}">
                      <a16:creationId xmlns:a16="http://schemas.microsoft.com/office/drawing/2014/main" id="{00000000-0008-0000-0300-00002B000000}"/>
                    </a:ext>
                  </a:extLst>
                </xdr:cNvPr>
                <xdr:cNvSpPr txBox="1"/>
              </xdr:nvSpPr>
              <xdr:spPr>
                <a:xfrm>
                  <a:off x="10752367" y="13816693"/>
                  <a:ext cx="914400" cy="264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noAutofit/>
                </a:bodyPr>
                <a:lstStyle/>
                <a:p>
                  <a:pPr algn="ctr"/>
                  <a:r>
                    <a:rPr lang="en-US" sz="1100">
                      <a:solidFill>
                        <a:srgbClr val="00B0F0"/>
                      </a:solidFill>
                    </a:rPr>
                    <a:t>SALTON</a:t>
                  </a:r>
                </a:p>
              </xdr:txBody>
            </xdr:sp>
            <xdr:sp macro="" textlink="">
              <xdr:nvSpPr>
                <xdr:cNvPr id="48" name="TextBox 47">
                  <a:extLst>
                    <a:ext uri="{FF2B5EF4-FFF2-40B4-BE49-F238E27FC236}">
                      <a16:creationId xmlns:a16="http://schemas.microsoft.com/office/drawing/2014/main" id="{00000000-0008-0000-0300-000030000000}"/>
                    </a:ext>
                  </a:extLst>
                </xdr:cNvPr>
                <xdr:cNvSpPr txBox="1"/>
              </xdr:nvSpPr>
              <xdr:spPr>
                <a:xfrm rot="2160000">
                  <a:off x="9198427" y="13120007"/>
                  <a:ext cx="1659621" cy="264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noAutofit/>
                </a:bodyPr>
                <a:lstStyle/>
                <a:p>
                  <a:r>
                    <a:rPr lang="en-US" sz="1100" baseline="0">
                      <a:solidFill>
                        <a:srgbClr val="FF0000"/>
                      </a:solidFill>
                    </a:rPr>
                    <a:t>pumped brine outflows</a:t>
                  </a:r>
                  <a:endParaRPr lang="en-US" sz="1100">
                    <a:solidFill>
                      <a:srgbClr val="FF0000"/>
                    </a:solidFill>
                  </a:endParaRPr>
                </a:p>
              </xdr:txBody>
            </xdr:sp>
            <xdr:grpSp>
              <xdr:nvGrpSpPr>
                <xdr:cNvPr id="42" name="Group 41">
                  <a:extLst>
                    <a:ext uri="{FF2B5EF4-FFF2-40B4-BE49-F238E27FC236}">
                      <a16:creationId xmlns:a16="http://schemas.microsoft.com/office/drawing/2014/main" id="{00000000-0008-0000-0300-00002A000000}"/>
                    </a:ext>
                  </a:extLst>
                </xdr:cNvPr>
                <xdr:cNvGrpSpPr/>
              </xdr:nvGrpSpPr>
              <xdr:grpSpPr>
                <a:xfrm>
                  <a:off x="10001250" y="13716000"/>
                  <a:ext cx="1131079" cy="1017225"/>
                  <a:chOff x="10001250" y="13716000"/>
                  <a:chExt cx="1131079" cy="1017225"/>
                </a:xfrm>
              </xdr:grpSpPr>
              <xdr:sp macro="" textlink="">
                <xdr:nvSpPr>
                  <xdr:cNvPr id="35" name="Oval 34">
                    <a:extLst>
                      <a:ext uri="{FF2B5EF4-FFF2-40B4-BE49-F238E27FC236}">
                        <a16:creationId xmlns:a16="http://schemas.microsoft.com/office/drawing/2014/main" id="{00000000-0008-0000-0300-000023000000}"/>
                      </a:ext>
                    </a:extLst>
                  </xdr:cNvPr>
                  <xdr:cNvSpPr/>
                </xdr:nvSpPr>
                <xdr:spPr>
                  <a:xfrm>
                    <a:off x="10395857" y="13716000"/>
                    <a:ext cx="283464" cy="285750"/>
                  </a:xfrm>
                  <a:prstGeom prst="ellipse">
                    <a:avLst/>
                  </a:prstGeom>
                  <a:solidFill>
                    <a:schemeClr val="tx1">
                      <a:lumMod val="65000"/>
                      <a:lumOff val="35000"/>
                    </a:schemeClr>
                  </a:solidFill>
                  <a:ln>
                    <a:noFill/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vertOverflow="clip" horzOverflow="clip" rtlCol="0" anchor="t"/>
                  <a:lstStyle/>
                  <a:p>
                    <a:pPr algn="l"/>
                    <a:endParaRPr lang="en-US" sz="110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endParaRPr>
                  </a:p>
                </xdr:txBody>
              </xdr:sp>
              <xdr:sp macro="" textlink="">
                <xdr:nvSpPr>
                  <xdr:cNvPr id="36" name="TextBox 35">
                    <a:extLst>
                      <a:ext uri="{FF2B5EF4-FFF2-40B4-BE49-F238E27FC236}">
                        <a16:creationId xmlns:a16="http://schemas.microsoft.com/office/drawing/2014/main" id="{00000000-0008-0000-0300-000024000000}"/>
                      </a:ext>
                    </a:extLst>
                  </xdr:cNvPr>
                  <xdr:cNvSpPr txBox="1"/>
                </xdr:nvSpPr>
                <xdr:spPr>
                  <a:xfrm>
                    <a:off x="10001250" y="14124212"/>
                    <a:ext cx="1131079" cy="609013"/>
                  </a:xfrm>
                  <a:prstGeom prst="rect">
                    <a:avLst/>
                  </a:prstGeom>
                  <a:noFill/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tx1"/>
                  </a:fontRef>
                </xdr:style>
                <xdr:txBody>
                  <a:bodyPr vertOverflow="clip" horzOverflow="clip" wrap="none" rtlCol="0" anchor="t">
                    <a:spAutoFit/>
                  </a:bodyPr>
                  <a:lstStyle/>
                  <a:p>
                    <a:pPr algn="ctr"/>
                    <a:r>
                      <a:rPr lang="en-US" sz="110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</a:rPr>
                      <a:t>Hydropower </a:t>
                    </a:r>
                    <a:br>
                      <a:rPr lang="en-US" sz="110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</a:rPr>
                    </a:br>
                    <a:r>
                      <a:rPr lang="en-US" sz="110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</a:rPr>
                      <a:t>&amp; </a:t>
                    </a:r>
                    <a:br>
                      <a:rPr lang="en-US" sz="110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</a:rPr>
                    </a:br>
                    <a:r>
                      <a:rPr lang="en-US" sz="110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</a:rPr>
                      <a:t>Pumping</a:t>
                    </a:r>
                    <a:r>
                      <a:rPr lang="en-US" sz="11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</a:rPr>
                      <a:t> Station</a:t>
                    </a:r>
                    <a:endParaRPr lang="en-US" sz="110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endParaRPr>
                  </a:p>
                </xdr:txBody>
              </xdr:sp>
            </xdr:grpSp>
          </xdr:grpSp>
        </xdr:grpSp>
      </xdr:grpSp>
      <xdr:grpSp>
        <xdr:nvGrpSpPr>
          <xdr:cNvPr id="64" name="Group 63">
            <a:extLst>
              <a:ext uri="{FF2B5EF4-FFF2-40B4-BE49-F238E27FC236}">
                <a16:creationId xmlns:a16="http://schemas.microsoft.com/office/drawing/2014/main" id="{00000000-0008-0000-0300-000040000000}"/>
              </a:ext>
            </a:extLst>
          </xdr:cNvPr>
          <xdr:cNvGrpSpPr/>
        </xdr:nvGrpSpPr>
        <xdr:grpSpPr>
          <a:xfrm>
            <a:off x="1700893" y="12083145"/>
            <a:ext cx="8599714" cy="1000125"/>
            <a:chOff x="1700893" y="12083145"/>
            <a:chExt cx="8599714" cy="1000125"/>
          </a:xfrm>
        </xdr:grpSpPr>
        <xdr:cxnSp macro="">
          <xdr:nvCxnSpPr>
            <xdr:cNvPr id="55" name="Straight Arrow Connector 54">
              <a:extLst>
                <a:ext uri="{FF2B5EF4-FFF2-40B4-BE49-F238E27FC236}">
                  <a16:creationId xmlns:a16="http://schemas.microsoft.com/office/drawing/2014/main" id="{00000000-0008-0000-0300-000037000000}"/>
                </a:ext>
              </a:extLst>
            </xdr:cNvPr>
            <xdr:cNvCxnSpPr>
              <a:endCxn id="35" idx="2"/>
            </xdr:cNvCxnSpPr>
          </xdr:nvCxnSpPr>
          <xdr:spPr>
            <a:xfrm>
              <a:off x="1768929" y="12600214"/>
              <a:ext cx="8531678" cy="483056"/>
            </a:xfrm>
            <a:prstGeom prst="straightConnector1">
              <a:avLst/>
            </a:prstGeom>
            <a:ln w="38100">
              <a:solidFill>
                <a:srgbClr val="00B050"/>
              </a:solidFill>
              <a:prstDash val="dash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7" name="Straight Arrow Connector 56">
              <a:extLst>
                <a:ext uri="{FF2B5EF4-FFF2-40B4-BE49-F238E27FC236}">
                  <a16:creationId xmlns:a16="http://schemas.microsoft.com/office/drawing/2014/main" id="{00000000-0008-0000-0300-000039000000}"/>
                </a:ext>
              </a:extLst>
            </xdr:cNvPr>
            <xdr:cNvCxnSpPr>
              <a:stCxn id="4" idx="74"/>
              <a:endCxn id="4" idx="56"/>
            </xdr:cNvCxnSpPr>
          </xdr:nvCxnSpPr>
          <xdr:spPr>
            <a:xfrm flipH="1" flipV="1">
              <a:off x="9089571" y="12083145"/>
              <a:ext cx="1211036" cy="898071"/>
            </a:xfrm>
            <a:prstGeom prst="straightConnector1">
              <a:avLst/>
            </a:prstGeom>
            <a:ln w="38100">
              <a:solidFill>
                <a:srgbClr val="FF0000"/>
              </a:solidFill>
              <a:prstDash val="dash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0" name="Straight Arrow Connector 59">
              <a:extLst>
                <a:ext uri="{FF2B5EF4-FFF2-40B4-BE49-F238E27FC236}">
                  <a16:creationId xmlns:a16="http://schemas.microsoft.com/office/drawing/2014/main" id="{00000000-0008-0000-0300-00003C000000}"/>
                </a:ext>
              </a:extLst>
            </xdr:cNvPr>
            <xdr:cNvCxnSpPr>
              <a:stCxn id="4" idx="56"/>
              <a:endCxn id="4" idx="3"/>
            </xdr:cNvCxnSpPr>
          </xdr:nvCxnSpPr>
          <xdr:spPr>
            <a:xfrm flipH="1">
              <a:off x="1700893" y="12083145"/>
              <a:ext cx="7388678" cy="530679"/>
            </a:xfrm>
            <a:prstGeom prst="straightConnector1">
              <a:avLst/>
            </a:prstGeom>
            <a:ln w="38100">
              <a:solidFill>
                <a:srgbClr val="FF0000"/>
              </a:solidFill>
              <a:prstDash val="dash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</xdr:col>
      <xdr:colOff>311689</xdr:colOff>
      <xdr:row>43</xdr:row>
      <xdr:rowOff>6403</xdr:rowOff>
    </xdr:from>
    <xdr:to>
      <xdr:col>1</xdr:col>
      <xdr:colOff>2506249</xdr:colOff>
      <xdr:row>48</xdr:row>
      <xdr:rowOff>126466</xdr:rowOff>
    </xdr:to>
    <xdr:sp macro="" textlink="">
      <xdr:nvSpPr>
        <xdr:cNvPr id="73" name="Rectangle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/>
      </xdr:nvSpPr>
      <xdr:spPr>
        <a:xfrm>
          <a:off x="924010" y="8184296"/>
          <a:ext cx="2194560" cy="1072563"/>
        </a:xfrm>
        <a:prstGeom prst="rect">
          <a:avLst/>
        </a:prstGeom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/>
            <a:t>How much energy/electricity do we produce</a:t>
          </a:r>
          <a:r>
            <a:rPr lang="en-US" sz="1400" baseline="0"/>
            <a:t> and need?</a:t>
          </a:r>
          <a:endParaRPr lang="en-US" sz="1400"/>
        </a:p>
      </xdr:txBody>
    </xdr:sp>
    <xdr:clientData/>
  </xdr:twoCellAnchor>
  <xdr:twoCellAnchor>
    <xdr:from>
      <xdr:col>1</xdr:col>
      <xdr:colOff>338903</xdr:colOff>
      <xdr:row>4</xdr:row>
      <xdr:rowOff>106776</xdr:rowOff>
    </xdr:from>
    <xdr:to>
      <xdr:col>1</xdr:col>
      <xdr:colOff>2533463</xdr:colOff>
      <xdr:row>11</xdr:row>
      <xdr:rowOff>152400</xdr:rowOff>
    </xdr:to>
    <xdr:sp macro="" textlink="">
      <xdr:nvSpPr>
        <xdr:cNvPr id="74" name="Rectangle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/>
      </xdr:nvSpPr>
      <xdr:spPr>
        <a:xfrm>
          <a:off x="951224" y="909597"/>
          <a:ext cx="2194560" cy="1283874"/>
        </a:xfrm>
        <a:prstGeom prst="rect">
          <a:avLst/>
        </a:prstGeom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/>
            <a:t>Given the prior</a:t>
          </a:r>
          <a:r>
            <a:rPr lang="en-US" sz="1400" baseline="0"/>
            <a:t> calculations, how many tunnels do we need to refill and bring down salinity?</a:t>
          </a:r>
        </a:p>
      </xdr:txBody>
    </xdr:sp>
    <xdr:clientData/>
  </xdr:twoCellAnchor>
  <xdr:twoCellAnchor>
    <xdr:from>
      <xdr:col>1</xdr:col>
      <xdr:colOff>1408969</xdr:colOff>
      <xdr:row>11</xdr:row>
      <xdr:rowOff>152400</xdr:rowOff>
    </xdr:from>
    <xdr:to>
      <xdr:col>1</xdr:col>
      <xdr:colOff>1436183</xdr:colOff>
      <xdr:row>43</xdr:row>
      <xdr:rowOff>6403</xdr:rowOff>
    </xdr:to>
    <xdr:cxnSp macro="">
      <xdr:nvCxnSpPr>
        <xdr:cNvPr id="75" name="Straight Arrow Connector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CxnSpPr>
          <a:stCxn id="74" idx="2"/>
          <a:endCxn id="73" idx="0"/>
        </xdr:cNvCxnSpPr>
      </xdr:nvCxnSpPr>
      <xdr:spPr>
        <a:xfrm flipH="1">
          <a:off x="2021290" y="2193471"/>
          <a:ext cx="27214" cy="59908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593912</xdr:colOff>
      <xdr:row>6</xdr:row>
      <xdr:rowOff>33617</xdr:rowOff>
    </xdr:from>
    <xdr:to>
      <xdr:col>21</xdr:col>
      <xdr:colOff>384985</xdr:colOff>
      <xdr:row>50</xdr:row>
      <xdr:rowOff>6208</xdr:rowOff>
    </xdr:to>
    <xdr:pic>
      <xdr:nvPicPr>
        <xdr:cNvPr id="3" name="Picture 2" descr="Screen Clippi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912" y="224117"/>
          <a:ext cx="12662247" cy="8354591"/>
        </a:xfrm>
        <a:prstGeom prst="rect">
          <a:avLst/>
        </a:prstGeom>
      </xdr:spPr>
    </xdr:pic>
    <xdr:clientData/>
  </xdr:twoCellAnchor>
  <xdr:twoCellAnchor>
    <xdr:from>
      <xdr:col>3</xdr:col>
      <xdr:colOff>289035</xdr:colOff>
      <xdr:row>11</xdr:row>
      <xdr:rowOff>157655</xdr:rowOff>
    </xdr:from>
    <xdr:to>
      <xdr:col>12</xdr:col>
      <xdr:colOff>459827</xdr:colOff>
      <xdr:row>43</xdr:row>
      <xdr:rowOff>7424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GrpSpPr/>
      </xdr:nvGrpSpPr>
      <xdr:grpSpPr>
        <a:xfrm>
          <a:off x="2117835" y="2396030"/>
          <a:ext cx="5657192" cy="5945769"/>
          <a:chOff x="2121776" y="1300655"/>
          <a:chExt cx="5669017" cy="5945769"/>
        </a:xfrm>
      </xdr:grpSpPr>
      <xdr:sp macro="" textlink="">
        <xdr:nvSpPr>
          <xdr:cNvPr id="39" name="Freeform 38">
            <a:extLst>
              <a:ext uri="{FF2B5EF4-FFF2-40B4-BE49-F238E27FC236}">
                <a16:creationId xmlns:a16="http://schemas.microsoft.com/office/drawing/2014/main" id="{00000000-0008-0000-0500-000027000000}"/>
              </a:ext>
            </a:extLst>
          </xdr:cNvPr>
          <xdr:cNvSpPr/>
        </xdr:nvSpPr>
        <xdr:spPr>
          <a:xfrm>
            <a:off x="2121776" y="1300655"/>
            <a:ext cx="2404241" cy="3402724"/>
          </a:xfrm>
          <a:custGeom>
            <a:avLst/>
            <a:gdLst>
              <a:gd name="connsiteX0" fmla="*/ 1320362 w 2404241"/>
              <a:gd name="connsiteY0" fmla="*/ 118242 h 3402724"/>
              <a:gd name="connsiteX1" fmla="*/ 952500 w 2404241"/>
              <a:gd name="connsiteY1" fmla="*/ 111673 h 3402724"/>
              <a:gd name="connsiteX2" fmla="*/ 932793 w 2404241"/>
              <a:gd name="connsiteY2" fmla="*/ 118242 h 3402724"/>
              <a:gd name="connsiteX3" fmla="*/ 906517 w 2404241"/>
              <a:gd name="connsiteY3" fmla="*/ 124811 h 3402724"/>
              <a:gd name="connsiteX4" fmla="*/ 860534 w 2404241"/>
              <a:gd name="connsiteY4" fmla="*/ 164224 h 3402724"/>
              <a:gd name="connsiteX5" fmla="*/ 840827 w 2404241"/>
              <a:gd name="connsiteY5" fmla="*/ 157655 h 3402724"/>
              <a:gd name="connsiteX6" fmla="*/ 814552 w 2404241"/>
              <a:gd name="connsiteY6" fmla="*/ 151086 h 3402724"/>
              <a:gd name="connsiteX7" fmla="*/ 775138 w 2404241"/>
              <a:gd name="connsiteY7" fmla="*/ 124811 h 3402724"/>
              <a:gd name="connsiteX8" fmla="*/ 755431 w 2404241"/>
              <a:gd name="connsiteY8" fmla="*/ 118242 h 3402724"/>
              <a:gd name="connsiteX9" fmla="*/ 729155 w 2404241"/>
              <a:gd name="connsiteY9" fmla="*/ 105104 h 3402724"/>
              <a:gd name="connsiteX10" fmla="*/ 689741 w 2404241"/>
              <a:gd name="connsiteY10" fmla="*/ 91966 h 3402724"/>
              <a:gd name="connsiteX11" fmla="*/ 656896 w 2404241"/>
              <a:gd name="connsiteY11" fmla="*/ 78828 h 3402724"/>
              <a:gd name="connsiteX12" fmla="*/ 637190 w 2404241"/>
              <a:gd name="connsiteY12" fmla="*/ 65690 h 3402724"/>
              <a:gd name="connsiteX13" fmla="*/ 558362 w 2404241"/>
              <a:gd name="connsiteY13" fmla="*/ 59121 h 3402724"/>
              <a:gd name="connsiteX14" fmla="*/ 426983 w 2404241"/>
              <a:gd name="connsiteY14" fmla="*/ 39414 h 3402724"/>
              <a:gd name="connsiteX15" fmla="*/ 400707 w 2404241"/>
              <a:gd name="connsiteY15" fmla="*/ 32845 h 3402724"/>
              <a:gd name="connsiteX16" fmla="*/ 289034 w 2404241"/>
              <a:gd name="connsiteY16" fmla="*/ 26276 h 3402724"/>
              <a:gd name="connsiteX17" fmla="*/ 197069 w 2404241"/>
              <a:gd name="connsiteY17" fmla="*/ 6569 h 3402724"/>
              <a:gd name="connsiteX18" fmla="*/ 170793 w 2404241"/>
              <a:gd name="connsiteY18" fmla="*/ 0 h 3402724"/>
              <a:gd name="connsiteX19" fmla="*/ 0 w 2404241"/>
              <a:gd name="connsiteY19" fmla="*/ 6569 h 3402724"/>
              <a:gd name="connsiteX20" fmla="*/ 13138 w 2404241"/>
              <a:gd name="connsiteY20" fmla="*/ 302173 h 3402724"/>
              <a:gd name="connsiteX21" fmla="*/ 26276 w 2404241"/>
              <a:gd name="connsiteY21" fmla="*/ 335017 h 3402724"/>
              <a:gd name="connsiteX22" fmla="*/ 45983 w 2404241"/>
              <a:gd name="connsiteY22" fmla="*/ 381000 h 3402724"/>
              <a:gd name="connsiteX23" fmla="*/ 59121 w 2404241"/>
              <a:gd name="connsiteY23" fmla="*/ 413845 h 3402724"/>
              <a:gd name="connsiteX24" fmla="*/ 78827 w 2404241"/>
              <a:gd name="connsiteY24" fmla="*/ 440121 h 3402724"/>
              <a:gd name="connsiteX25" fmla="*/ 91965 w 2404241"/>
              <a:gd name="connsiteY25" fmla="*/ 768569 h 3402724"/>
              <a:gd name="connsiteX26" fmla="*/ 111672 w 2404241"/>
              <a:gd name="connsiteY26" fmla="*/ 781707 h 3402724"/>
              <a:gd name="connsiteX27" fmla="*/ 131379 w 2404241"/>
              <a:gd name="connsiteY27" fmla="*/ 807983 h 3402724"/>
              <a:gd name="connsiteX28" fmla="*/ 183931 w 2404241"/>
              <a:gd name="connsiteY28" fmla="*/ 827690 h 3402724"/>
              <a:gd name="connsiteX29" fmla="*/ 229914 w 2404241"/>
              <a:gd name="connsiteY29" fmla="*/ 867104 h 3402724"/>
              <a:gd name="connsiteX30" fmla="*/ 249621 w 2404241"/>
              <a:gd name="connsiteY30" fmla="*/ 873673 h 3402724"/>
              <a:gd name="connsiteX31" fmla="*/ 308741 w 2404241"/>
              <a:gd name="connsiteY31" fmla="*/ 893379 h 3402724"/>
              <a:gd name="connsiteX32" fmla="*/ 335017 w 2404241"/>
              <a:gd name="connsiteY32" fmla="*/ 913086 h 3402724"/>
              <a:gd name="connsiteX33" fmla="*/ 367862 w 2404241"/>
              <a:gd name="connsiteY33" fmla="*/ 926224 h 3402724"/>
              <a:gd name="connsiteX34" fmla="*/ 413845 w 2404241"/>
              <a:gd name="connsiteY34" fmla="*/ 972207 h 3402724"/>
              <a:gd name="connsiteX35" fmla="*/ 433552 w 2404241"/>
              <a:gd name="connsiteY35" fmla="*/ 985345 h 3402724"/>
              <a:gd name="connsiteX36" fmla="*/ 446690 w 2404241"/>
              <a:gd name="connsiteY36" fmla="*/ 1011621 h 3402724"/>
              <a:gd name="connsiteX37" fmla="*/ 486103 w 2404241"/>
              <a:gd name="connsiteY37" fmla="*/ 1057604 h 3402724"/>
              <a:gd name="connsiteX38" fmla="*/ 499241 w 2404241"/>
              <a:gd name="connsiteY38" fmla="*/ 1182414 h 3402724"/>
              <a:gd name="connsiteX39" fmla="*/ 512379 w 2404241"/>
              <a:gd name="connsiteY39" fmla="*/ 1274379 h 3402724"/>
              <a:gd name="connsiteX40" fmla="*/ 545224 w 2404241"/>
              <a:gd name="connsiteY40" fmla="*/ 1307224 h 3402724"/>
              <a:gd name="connsiteX41" fmla="*/ 551793 w 2404241"/>
              <a:gd name="connsiteY41" fmla="*/ 1340069 h 3402724"/>
              <a:gd name="connsiteX42" fmla="*/ 564931 w 2404241"/>
              <a:gd name="connsiteY42" fmla="*/ 1471448 h 3402724"/>
              <a:gd name="connsiteX43" fmla="*/ 571500 w 2404241"/>
              <a:gd name="connsiteY43" fmla="*/ 1517431 h 3402724"/>
              <a:gd name="connsiteX44" fmla="*/ 584638 w 2404241"/>
              <a:gd name="connsiteY44" fmla="*/ 1543707 h 3402724"/>
              <a:gd name="connsiteX45" fmla="*/ 624052 w 2404241"/>
              <a:gd name="connsiteY45" fmla="*/ 1583121 h 3402724"/>
              <a:gd name="connsiteX46" fmla="*/ 643758 w 2404241"/>
              <a:gd name="connsiteY46" fmla="*/ 1589690 h 3402724"/>
              <a:gd name="connsiteX47" fmla="*/ 663465 w 2404241"/>
              <a:gd name="connsiteY47" fmla="*/ 1813035 h 3402724"/>
              <a:gd name="connsiteX48" fmla="*/ 676603 w 2404241"/>
              <a:gd name="connsiteY48" fmla="*/ 1832742 h 3402724"/>
              <a:gd name="connsiteX49" fmla="*/ 683172 w 2404241"/>
              <a:gd name="connsiteY49" fmla="*/ 1859017 h 3402724"/>
              <a:gd name="connsiteX50" fmla="*/ 702879 w 2404241"/>
              <a:gd name="connsiteY50" fmla="*/ 1878724 h 3402724"/>
              <a:gd name="connsiteX51" fmla="*/ 735724 w 2404241"/>
              <a:gd name="connsiteY51" fmla="*/ 1911569 h 3402724"/>
              <a:gd name="connsiteX52" fmla="*/ 775138 w 2404241"/>
              <a:gd name="connsiteY52" fmla="*/ 1983828 h 3402724"/>
              <a:gd name="connsiteX53" fmla="*/ 807983 w 2404241"/>
              <a:gd name="connsiteY53" fmla="*/ 2023242 h 3402724"/>
              <a:gd name="connsiteX54" fmla="*/ 847396 w 2404241"/>
              <a:gd name="connsiteY54" fmla="*/ 2029811 h 3402724"/>
              <a:gd name="connsiteX55" fmla="*/ 873672 w 2404241"/>
              <a:gd name="connsiteY55" fmla="*/ 2056086 h 3402724"/>
              <a:gd name="connsiteX56" fmla="*/ 893379 w 2404241"/>
              <a:gd name="connsiteY56" fmla="*/ 2062655 h 3402724"/>
              <a:gd name="connsiteX57" fmla="*/ 913086 w 2404241"/>
              <a:gd name="connsiteY57" fmla="*/ 2082362 h 3402724"/>
              <a:gd name="connsiteX58" fmla="*/ 945931 w 2404241"/>
              <a:gd name="connsiteY58" fmla="*/ 2102069 h 3402724"/>
              <a:gd name="connsiteX59" fmla="*/ 991914 w 2404241"/>
              <a:gd name="connsiteY59" fmla="*/ 2141483 h 3402724"/>
              <a:gd name="connsiteX60" fmla="*/ 1005052 w 2404241"/>
              <a:gd name="connsiteY60" fmla="*/ 2161190 h 3402724"/>
              <a:gd name="connsiteX61" fmla="*/ 1077310 w 2404241"/>
              <a:gd name="connsiteY61" fmla="*/ 2213742 h 3402724"/>
              <a:gd name="connsiteX62" fmla="*/ 1103586 w 2404241"/>
              <a:gd name="connsiteY62" fmla="*/ 2220311 h 3402724"/>
              <a:gd name="connsiteX63" fmla="*/ 1136431 w 2404241"/>
              <a:gd name="connsiteY63" fmla="*/ 2246586 h 3402724"/>
              <a:gd name="connsiteX64" fmla="*/ 1156138 w 2404241"/>
              <a:gd name="connsiteY64" fmla="*/ 2259724 h 3402724"/>
              <a:gd name="connsiteX65" fmla="*/ 1175845 w 2404241"/>
              <a:gd name="connsiteY65" fmla="*/ 2279431 h 3402724"/>
              <a:gd name="connsiteX66" fmla="*/ 1215258 w 2404241"/>
              <a:gd name="connsiteY66" fmla="*/ 2292569 h 3402724"/>
              <a:gd name="connsiteX67" fmla="*/ 1254672 w 2404241"/>
              <a:gd name="connsiteY67" fmla="*/ 2325414 h 3402724"/>
              <a:gd name="connsiteX68" fmla="*/ 1359776 w 2404241"/>
              <a:gd name="connsiteY68" fmla="*/ 2358259 h 3402724"/>
              <a:gd name="connsiteX69" fmla="*/ 1412327 w 2404241"/>
              <a:gd name="connsiteY69" fmla="*/ 2391104 h 3402724"/>
              <a:gd name="connsiteX70" fmla="*/ 1438603 w 2404241"/>
              <a:gd name="connsiteY70" fmla="*/ 2410811 h 3402724"/>
              <a:gd name="connsiteX71" fmla="*/ 1458310 w 2404241"/>
              <a:gd name="connsiteY71" fmla="*/ 2463362 h 3402724"/>
              <a:gd name="connsiteX72" fmla="*/ 1497724 w 2404241"/>
              <a:gd name="connsiteY72" fmla="*/ 2489638 h 3402724"/>
              <a:gd name="connsiteX73" fmla="*/ 1543707 w 2404241"/>
              <a:gd name="connsiteY73" fmla="*/ 2535621 h 3402724"/>
              <a:gd name="connsiteX74" fmla="*/ 1563414 w 2404241"/>
              <a:gd name="connsiteY74" fmla="*/ 2575035 h 3402724"/>
              <a:gd name="connsiteX75" fmla="*/ 1589690 w 2404241"/>
              <a:gd name="connsiteY75" fmla="*/ 2634155 h 3402724"/>
              <a:gd name="connsiteX76" fmla="*/ 1609396 w 2404241"/>
              <a:gd name="connsiteY76" fmla="*/ 2653862 h 3402724"/>
              <a:gd name="connsiteX77" fmla="*/ 1615965 w 2404241"/>
              <a:gd name="connsiteY77" fmla="*/ 2680138 h 3402724"/>
              <a:gd name="connsiteX78" fmla="*/ 1655379 w 2404241"/>
              <a:gd name="connsiteY78" fmla="*/ 2719552 h 3402724"/>
              <a:gd name="connsiteX79" fmla="*/ 1675086 w 2404241"/>
              <a:gd name="connsiteY79" fmla="*/ 2739259 h 3402724"/>
              <a:gd name="connsiteX80" fmla="*/ 1701362 w 2404241"/>
              <a:gd name="connsiteY80" fmla="*/ 2765535 h 3402724"/>
              <a:gd name="connsiteX81" fmla="*/ 1707931 w 2404241"/>
              <a:gd name="connsiteY81" fmla="*/ 2791811 h 3402724"/>
              <a:gd name="connsiteX82" fmla="*/ 1714500 w 2404241"/>
              <a:gd name="connsiteY82" fmla="*/ 2831224 h 3402724"/>
              <a:gd name="connsiteX83" fmla="*/ 1727638 w 2404241"/>
              <a:gd name="connsiteY83" fmla="*/ 2850931 h 3402724"/>
              <a:gd name="connsiteX84" fmla="*/ 1734207 w 2404241"/>
              <a:gd name="connsiteY84" fmla="*/ 2916621 h 3402724"/>
              <a:gd name="connsiteX85" fmla="*/ 1747345 w 2404241"/>
              <a:gd name="connsiteY85" fmla="*/ 2962604 h 3402724"/>
              <a:gd name="connsiteX86" fmla="*/ 1753914 w 2404241"/>
              <a:gd name="connsiteY86" fmla="*/ 3002017 h 3402724"/>
              <a:gd name="connsiteX87" fmla="*/ 1786758 w 2404241"/>
              <a:gd name="connsiteY87" fmla="*/ 3021724 h 3402724"/>
              <a:gd name="connsiteX88" fmla="*/ 1799896 w 2404241"/>
              <a:gd name="connsiteY88" fmla="*/ 3041431 h 3402724"/>
              <a:gd name="connsiteX89" fmla="*/ 1839310 w 2404241"/>
              <a:gd name="connsiteY89" fmla="*/ 3054569 h 3402724"/>
              <a:gd name="connsiteX90" fmla="*/ 1865586 w 2404241"/>
              <a:gd name="connsiteY90" fmla="*/ 3067707 h 3402724"/>
              <a:gd name="connsiteX91" fmla="*/ 1891862 w 2404241"/>
              <a:gd name="connsiteY91" fmla="*/ 3087414 h 3402724"/>
              <a:gd name="connsiteX92" fmla="*/ 1950983 w 2404241"/>
              <a:gd name="connsiteY92" fmla="*/ 3113690 h 3402724"/>
              <a:gd name="connsiteX93" fmla="*/ 1996965 w 2404241"/>
              <a:gd name="connsiteY93" fmla="*/ 3139966 h 3402724"/>
              <a:gd name="connsiteX94" fmla="*/ 2010103 w 2404241"/>
              <a:gd name="connsiteY94" fmla="*/ 3159673 h 3402724"/>
              <a:gd name="connsiteX95" fmla="*/ 2069224 w 2404241"/>
              <a:gd name="connsiteY95" fmla="*/ 3179379 h 3402724"/>
              <a:gd name="connsiteX96" fmla="*/ 2088931 w 2404241"/>
              <a:gd name="connsiteY96" fmla="*/ 3192517 h 3402724"/>
              <a:gd name="connsiteX97" fmla="*/ 2200603 w 2404241"/>
              <a:gd name="connsiteY97" fmla="*/ 3205655 h 3402724"/>
              <a:gd name="connsiteX98" fmla="*/ 2233448 w 2404241"/>
              <a:gd name="connsiteY98" fmla="*/ 3225362 h 3402724"/>
              <a:gd name="connsiteX99" fmla="*/ 2259724 w 2404241"/>
              <a:gd name="connsiteY99" fmla="*/ 3231931 h 3402724"/>
              <a:gd name="connsiteX100" fmla="*/ 2305707 w 2404241"/>
              <a:gd name="connsiteY100" fmla="*/ 3258207 h 3402724"/>
              <a:gd name="connsiteX101" fmla="*/ 2364827 w 2404241"/>
              <a:gd name="connsiteY101" fmla="*/ 3304190 h 3402724"/>
              <a:gd name="connsiteX102" fmla="*/ 2404241 w 2404241"/>
              <a:gd name="connsiteY102" fmla="*/ 3356742 h 3402724"/>
              <a:gd name="connsiteX103" fmla="*/ 2404241 w 2404241"/>
              <a:gd name="connsiteY103" fmla="*/ 3402724 h 340272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  <a:cxn ang="0">
                <a:pos x="connsiteX69" y="connsiteY69"/>
              </a:cxn>
              <a:cxn ang="0">
                <a:pos x="connsiteX70" y="connsiteY70"/>
              </a:cxn>
              <a:cxn ang="0">
                <a:pos x="connsiteX71" y="connsiteY71"/>
              </a:cxn>
              <a:cxn ang="0">
                <a:pos x="connsiteX72" y="connsiteY72"/>
              </a:cxn>
              <a:cxn ang="0">
                <a:pos x="connsiteX73" y="connsiteY73"/>
              </a:cxn>
              <a:cxn ang="0">
                <a:pos x="connsiteX74" y="connsiteY74"/>
              </a:cxn>
              <a:cxn ang="0">
                <a:pos x="connsiteX75" y="connsiteY75"/>
              </a:cxn>
              <a:cxn ang="0">
                <a:pos x="connsiteX76" y="connsiteY76"/>
              </a:cxn>
              <a:cxn ang="0">
                <a:pos x="connsiteX77" y="connsiteY77"/>
              </a:cxn>
              <a:cxn ang="0">
                <a:pos x="connsiteX78" y="connsiteY78"/>
              </a:cxn>
              <a:cxn ang="0">
                <a:pos x="connsiteX79" y="connsiteY79"/>
              </a:cxn>
              <a:cxn ang="0">
                <a:pos x="connsiteX80" y="connsiteY80"/>
              </a:cxn>
              <a:cxn ang="0">
                <a:pos x="connsiteX81" y="connsiteY81"/>
              </a:cxn>
              <a:cxn ang="0">
                <a:pos x="connsiteX82" y="connsiteY82"/>
              </a:cxn>
              <a:cxn ang="0">
                <a:pos x="connsiteX83" y="connsiteY83"/>
              </a:cxn>
              <a:cxn ang="0">
                <a:pos x="connsiteX84" y="connsiteY84"/>
              </a:cxn>
              <a:cxn ang="0">
                <a:pos x="connsiteX85" y="connsiteY85"/>
              </a:cxn>
              <a:cxn ang="0">
                <a:pos x="connsiteX86" y="connsiteY86"/>
              </a:cxn>
              <a:cxn ang="0">
                <a:pos x="connsiteX87" y="connsiteY87"/>
              </a:cxn>
              <a:cxn ang="0">
                <a:pos x="connsiteX88" y="connsiteY88"/>
              </a:cxn>
              <a:cxn ang="0">
                <a:pos x="connsiteX89" y="connsiteY89"/>
              </a:cxn>
              <a:cxn ang="0">
                <a:pos x="connsiteX90" y="connsiteY90"/>
              </a:cxn>
              <a:cxn ang="0">
                <a:pos x="connsiteX91" y="connsiteY91"/>
              </a:cxn>
              <a:cxn ang="0">
                <a:pos x="connsiteX92" y="connsiteY92"/>
              </a:cxn>
              <a:cxn ang="0">
                <a:pos x="connsiteX93" y="connsiteY93"/>
              </a:cxn>
              <a:cxn ang="0">
                <a:pos x="connsiteX94" y="connsiteY94"/>
              </a:cxn>
              <a:cxn ang="0">
                <a:pos x="connsiteX95" y="connsiteY95"/>
              </a:cxn>
              <a:cxn ang="0">
                <a:pos x="connsiteX96" y="connsiteY96"/>
              </a:cxn>
              <a:cxn ang="0">
                <a:pos x="connsiteX97" y="connsiteY97"/>
              </a:cxn>
              <a:cxn ang="0">
                <a:pos x="connsiteX98" y="connsiteY98"/>
              </a:cxn>
              <a:cxn ang="0">
                <a:pos x="connsiteX99" y="connsiteY99"/>
              </a:cxn>
              <a:cxn ang="0">
                <a:pos x="connsiteX100" y="connsiteY100"/>
              </a:cxn>
              <a:cxn ang="0">
                <a:pos x="connsiteX101" y="connsiteY101"/>
              </a:cxn>
              <a:cxn ang="0">
                <a:pos x="connsiteX102" y="connsiteY102"/>
              </a:cxn>
              <a:cxn ang="0">
                <a:pos x="connsiteX103" y="connsiteY103"/>
              </a:cxn>
            </a:cxnLst>
            <a:rect l="l" t="t" r="r" b="b"/>
            <a:pathLst>
              <a:path w="2404241" h="3402724">
                <a:moveTo>
                  <a:pt x="1320362" y="118242"/>
                </a:moveTo>
                <a:cubicBezTo>
                  <a:pt x="1169462" y="80517"/>
                  <a:pt x="1264674" y="99431"/>
                  <a:pt x="952500" y="111673"/>
                </a:cubicBezTo>
                <a:cubicBezTo>
                  <a:pt x="945581" y="111944"/>
                  <a:pt x="939451" y="116340"/>
                  <a:pt x="932793" y="118242"/>
                </a:cubicBezTo>
                <a:cubicBezTo>
                  <a:pt x="924112" y="120722"/>
                  <a:pt x="915276" y="122621"/>
                  <a:pt x="906517" y="124811"/>
                </a:cubicBezTo>
                <a:cubicBezTo>
                  <a:pt x="902912" y="128416"/>
                  <a:pt x="872538" y="162223"/>
                  <a:pt x="860534" y="164224"/>
                </a:cubicBezTo>
                <a:cubicBezTo>
                  <a:pt x="853704" y="165362"/>
                  <a:pt x="847485" y="159557"/>
                  <a:pt x="840827" y="157655"/>
                </a:cubicBezTo>
                <a:cubicBezTo>
                  <a:pt x="832146" y="155175"/>
                  <a:pt x="823310" y="153276"/>
                  <a:pt x="814552" y="151086"/>
                </a:cubicBezTo>
                <a:cubicBezTo>
                  <a:pt x="801414" y="142328"/>
                  <a:pt x="788941" y="132479"/>
                  <a:pt x="775138" y="124811"/>
                </a:cubicBezTo>
                <a:cubicBezTo>
                  <a:pt x="769085" y="121448"/>
                  <a:pt x="761795" y="120970"/>
                  <a:pt x="755431" y="118242"/>
                </a:cubicBezTo>
                <a:cubicBezTo>
                  <a:pt x="746430" y="114385"/>
                  <a:pt x="738247" y="108741"/>
                  <a:pt x="729155" y="105104"/>
                </a:cubicBezTo>
                <a:cubicBezTo>
                  <a:pt x="716297" y="99961"/>
                  <a:pt x="702599" y="97109"/>
                  <a:pt x="689741" y="91966"/>
                </a:cubicBezTo>
                <a:cubicBezTo>
                  <a:pt x="678793" y="87587"/>
                  <a:pt x="667443" y="84101"/>
                  <a:pt x="656896" y="78828"/>
                </a:cubicBezTo>
                <a:cubicBezTo>
                  <a:pt x="649835" y="75297"/>
                  <a:pt x="644931" y="67238"/>
                  <a:pt x="637190" y="65690"/>
                </a:cubicBezTo>
                <a:cubicBezTo>
                  <a:pt x="611335" y="60519"/>
                  <a:pt x="584525" y="62391"/>
                  <a:pt x="558362" y="59121"/>
                </a:cubicBezTo>
                <a:cubicBezTo>
                  <a:pt x="514421" y="53628"/>
                  <a:pt x="469944" y="50154"/>
                  <a:pt x="426983" y="39414"/>
                </a:cubicBezTo>
                <a:cubicBezTo>
                  <a:pt x="418224" y="37224"/>
                  <a:pt x="409695" y="33701"/>
                  <a:pt x="400707" y="32845"/>
                </a:cubicBezTo>
                <a:cubicBezTo>
                  <a:pt x="363586" y="29310"/>
                  <a:pt x="326258" y="28466"/>
                  <a:pt x="289034" y="26276"/>
                </a:cubicBezTo>
                <a:lnTo>
                  <a:pt x="197069" y="6569"/>
                </a:lnTo>
                <a:cubicBezTo>
                  <a:pt x="188256" y="4610"/>
                  <a:pt x="179821" y="0"/>
                  <a:pt x="170793" y="0"/>
                </a:cubicBezTo>
                <a:cubicBezTo>
                  <a:pt x="113820" y="0"/>
                  <a:pt x="56931" y="4379"/>
                  <a:pt x="0" y="6569"/>
                </a:cubicBezTo>
                <a:cubicBezTo>
                  <a:pt x="4379" y="105104"/>
                  <a:pt x="5273" y="203855"/>
                  <a:pt x="13138" y="302173"/>
                </a:cubicBezTo>
                <a:cubicBezTo>
                  <a:pt x="14078" y="313927"/>
                  <a:pt x="22136" y="323976"/>
                  <a:pt x="26276" y="335017"/>
                </a:cubicBezTo>
                <a:cubicBezTo>
                  <a:pt x="50565" y="399786"/>
                  <a:pt x="9068" y="297941"/>
                  <a:pt x="45983" y="381000"/>
                </a:cubicBezTo>
                <a:cubicBezTo>
                  <a:pt x="50772" y="391775"/>
                  <a:pt x="53395" y="403537"/>
                  <a:pt x="59121" y="413845"/>
                </a:cubicBezTo>
                <a:cubicBezTo>
                  <a:pt x="64438" y="423415"/>
                  <a:pt x="72258" y="431362"/>
                  <a:pt x="78827" y="440121"/>
                </a:cubicBezTo>
                <a:cubicBezTo>
                  <a:pt x="119645" y="562574"/>
                  <a:pt x="60017" y="377211"/>
                  <a:pt x="91965" y="768569"/>
                </a:cubicBezTo>
                <a:cubicBezTo>
                  <a:pt x="92607" y="776438"/>
                  <a:pt x="106089" y="776124"/>
                  <a:pt x="111672" y="781707"/>
                </a:cubicBezTo>
                <a:cubicBezTo>
                  <a:pt x="119414" y="789449"/>
                  <a:pt x="123066" y="800858"/>
                  <a:pt x="131379" y="807983"/>
                </a:cubicBezTo>
                <a:cubicBezTo>
                  <a:pt x="145524" y="820107"/>
                  <a:pt x="166784" y="823403"/>
                  <a:pt x="183931" y="827690"/>
                </a:cubicBezTo>
                <a:cubicBezTo>
                  <a:pt x="199462" y="843221"/>
                  <a:pt x="210251" y="855868"/>
                  <a:pt x="229914" y="867104"/>
                </a:cubicBezTo>
                <a:cubicBezTo>
                  <a:pt x="235926" y="870539"/>
                  <a:pt x="243257" y="870945"/>
                  <a:pt x="249621" y="873673"/>
                </a:cubicBezTo>
                <a:cubicBezTo>
                  <a:pt x="297214" y="894070"/>
                  <a:pt x="253374" y="882307"/>
                  <a:pt x="308741" y="893379"/>
                </a:cubicBezTo>
                <a:cubicBezTo>
                  <a:pt x="317500" y="899948"/>
                  <a:pt x="325446" y="907769"/>
                  <a:pt x="335017" y="913086"/>
                </a:cubicBezTo>
                <a:cubicBezTo>
                  <a:pt x="345325" y="918813"/>
                  <a:pt x="358429" y="919149"/>
                  <a:pt x="367862" y="926224"/>
                </a:cubicBezTo>
                <a:cubicBezTo>
                  <a:pt x="385203" y="939230"/>
                  <a:pt x="395809" y="960183"/>
                  <a:pt x="413845" y="972207"/>
                </a:cubicBezTo>
                <a:lnTo>
                  <a:pt x="433552" y="985345"/>
                </a:lnTo>
                <a:cubicBezTo>
                  <a:pt x="437931" y="994104"/>
                  <a:pt x="440317" y="1004186"/>
                  <a:pt x="446690" y="1011621"/>
                </a:cubicBezTo>
                <a:cubicBezTo>
                  <a:pt x="497854" y="1071314"/>
                  <a:pt x="452814" y="991026"/>
                  <a:pt x="486103" y="1057604"/>
                </a:cubicBezTo>
                <a:cubicBezTo>
                  <a:pt x="499497" y="1245122"/>
                  <a:pt x="484454" y="1088765"/>
                  <a:pt x="499241" y="1182414"/>
                </a:cubicBezTo>
                <a:cubicBezTo>
                  <a:pt x="504071" y="1213001"/>
                  <a:pt x="501674" y="1245322"/>
                  <a:pt x="512379" y="1274379"/>
                </a:cubicBezTo>
                <a:cubicBezTo>
                  <a:pt x="517732" y="1288908"/>
                  <a:pt x="534276" y="1296276"/>
                  <a:pt x="545224" y="1307224"/>
                </a:cubicBezTo>
                <a:cubicBezTo>
                  <a:pt x="547414" y="1318172"/>
                  <a:pt x="550782" y="1328950"/>
                  <a:pt x="551793" y="1340069"/>
                </a:cubicBezTo>
                <a:cubicBezTo>
                  <a:pt x="564000" y="1474348"/>
                  <a:pt x="545598" y="1413453"/>
                  <a:pt x="564931" y="1471448"/>
                </a:cubicBezTo>
                <a:cubicBezTo>
                  <a:pt x="567121" y="1486776"/>
                  <a:pt x="567426" y="1502493"/>
                  <a:pt x="571500" y="1517431"/>
                </a:cubicBezTo>
                <a:cubicBezTo>
                  <a:pt x="574077" y="1526878"/>
                  <a:pt x="579780" y="1535205"/>
                  <a:pt x="584638" y="1543707"/>
                </a:cubicBezTo>
                <a:cubicBezTo>
                  <a:pt x="596213" y="1563964"/>
                  <a:pt x="602049" y="1570548"/>
                  <a:pt x="624052" y="1583121"/>
                </a:cubicBezTo>
                <a:cubicBezTo>
                  <a:pt x="630064" y="1586556"/>
                  <a:pt x="637189" y="1587500"/>
                  <a:pt x="643758" y="1589690"/>
                </a:cubicBezTo>
                <a:cubicBezTo>
                  <a:pt x="650327" y="1664138"/>
                  <a:pt x="653456" y="1738971"/>
                  <a:pt x="663465" y="1813035"/>
                </a:cubicBezTo>
                <a:cubicBezTo>
                  <a:pt x="664522" y="1820859"/>
                  <a:pt x="673493" y="1825485"/>
                  <a:pt x="676603" y="1832742"/>
                </a:cubicBezTo>
                <a:cubicBezTo>
                  <a:pt x="680159" y="1841040"/>
                  <a:pt x="678693" y="1851179"/>
                  <a:pt x="683172" y="1859017"/>
                </a:cubicBezTo>
                <a:cubicBezTo>
                  <a:pt x="687781" y="1867083"/>
                  <a:pt x="696932" y="1871587"/>
                  <a:pt x="702879" y="1878724"/>
                </a:cubicBezTo>
                <a:cubicBezTo>
                  <a:pt x="730250" y="1911569"/>
                  <a:pt x="699594" y="1887483"/>
                  <a:pt x="735724" y="1911569"/>
                </a:cubicBezTo>
                <a:cubicBezTo>
                  <a:pt x="757928" y="1978180"/>
                  <a:pt x="738147" y="1959167"/>
                  <a:pt x="775138" y="1983828"/>
                </a:cubicBezTo>
                <a:cubicBezTo>
                  <a:pt x="782118" y="1994297"/>
                  <a:pt x="796004" y="2017918"/>
                  <a:pt x="807983" y="2023242"/>
                </a:cubicBezTo>
                <a:cubicBezTo>
                  <a:pt x="820154" y="2028651"/>
                  <a:pt x="834258" y="2027621"/>
                  <a:pt x="847396" y="2029811"/>
                </a:cubicBezTo>
                <a:cubicBezTo>
                  <a:pt x="856155" y="2038569"/>
                  <a:pt x="863593" y="2048887"/>
                  <a:pt x="873672" y="2056086"/>
                </a:cubicBezTo>
                <a:cubicBezTo>
                  <a:pt x="879307" y="2060111"/>
                  <a:pt x="887618" y="2058814"/>
                  <a:pt x="893379" y="2062655"/>
                </a:cubicBezTo>
                <a:cubicBezTo>
                  <a:pt x="901109" y="2067808"/>
                  <a:pt x="905654" y="2076788"/>
                  <a:pt x="913086" y="2082362"/>
                </a:cubicBezTo>
                <a:cubicBezTo>
                  <a:pt x="923300" y="2090023"/>
                  <a:pt x="935853" y="2094230"/>
                  <a:pt x="945931" y="2102069"/>
                </a:cubicBezTo>
                <a:cubicBezTo>
                  <a:pt x="1041507" y="2176406"/>
                  <a:pt x="921289" y="2094400"/>
                  <a:pt x="991914" y="2141483"/>
                </a:cubicBezTo>
                <a:cubicBezTo>
                  <a:pt x="996293" y="2148052"/>
                  <a:pt x="999807" y="2155289"/>
                  <a:pt x="1005052" y="2161190"/>
                </a:cubicBezTo>
                <a:cubicBezTo>
                  <a:pt x="1038617" y="2198951"/>
                  <a:pt x="1036217" y="2200044"/>
                  <a:pt x="1077310" y="2213742"/>
                </a:cubicBezTo>
                <a:cubicBezTo>
                  <a:pt x="1085875" y="2216597"/>
                  <a:pt x="1094827" y="2218121"/>
                  <a:pt x="1103586" y="2220311"/>
                </a:cubicBezTo>
                <a:cubicBezTo>
                  <a:pt x="1114534" y="2229069"/>
                  <a:pt x="1125214" y="2238174"/>
                  <a:pt x="1136431" y="2246586"/>
                </a:cubicBezTo>
                <a:cubicBezTo>
                  <a:pt x="1142747" y="2251323"/>
                  <a:pt x="1150073" y="2254670"/>
                  <a:pt x="1156138" y="2259724"/>
                </a:cubicBezTo>
                <a:cubicBezTo>
                  <a:pt x="1163275" y="2265671"/>
                  <a:pt x="1167724" y="2274919"/>
                  <a:pt x="1175845" y="2279431"/>
                </a:cubicBezTo>
                <a:cubicBezTo>
                  <a:pt x="1187951" y="2286156"/>
                  <a:pt x="1215258" y="2292569"/>
                  <a:pt x="1215258" y="2292569"/>
                </a:cubicBezTo>
                <a:cubicBezTo>
                  <a:pt x="1227096" y="2304407"/>
                  <a:pt x="1238667" y="2318555"/>
                  <a:pt x="1254672" y="2325414"/>
                </a:cubicBezTo>
                <a:cubicBezTo>
                  <a:pt x="1318867" y="2352926"/>
                  <a:pt x="1238488" y="2285486"/>
                  <a:pt x="1359776" y="2358259"/>
                </a:cubicBezTo>
                <a:cubicBezTo>
                  <a:pt x="1378963" y="2369771"/>
                  <a:pt x="1394628" y="2378462"/>
                  <a:pt x="1412327" y="2391104"/>
                </a:cubicBezTo>
                <a:cubicBezTo>
                  <a:pt x="1421236" y="2397468"/>
                  <a:pt x="1429844" y="2404242"/>
                  <a:pt x="1438603" y="2410811"/>
                </a:cubicBezTo>
                <a:cubicBezTo>
                  <a:pt x="1442136" y="2421409"/>
                  <a:pt x="1454122" y="2458650"/>
                  <a:pt x="1458310" y="2463362"/>
                </a:cubicBezTo>
                <a:cubicBezTo>
                  <a:pt x="1468800" y="2475164"/>
                  <a:pt x="1486559" y="2478473"/>
                  <a:pt x="1497724" y="2489638"/>
                </a:cubicBezTo>
                <a:lnTo>
                  <a:pt x="1543707" y="2535621"/>
                </a:lnTo>
                <a:cubicBezTo>
                  <a:pt x="1560218" y="2585153"/>
                  <a:pt x="1537947" y="2524101"/>
                  <a:pt x="1563414" y="2575035"/>
                </a:cubicBezTo>
                <a:cubicBezTo>
                  <a:pt x="1571998" y="2592203"/>
                  <a:pt x="1578081" y="2617902"/>
                  <a:pt x="1589690" y="2634155"/>
                </a:cubicBezTo>
                <a:cubicBezTo>
                  <a:pt x="1595089" y="2641714"/>
                  <a:pt x="1602827" y="2647293"/>
                  <a:pt x="1609396" y="2653862"/>
                </a:cubicBezTo>
                <a:cubicBezTo>
                  <a:pt x="1611586" y="2662621"/>
                  <a:pt x="1610788" y="2672742"/>
                  <a:pt x="1615965" y="2680138"/>
                </a:cubicBezTo>
                <a:cubicBezTo>
                  <a:pt x="1626620" y="2695359"/>
                  <a:pt x="1642241" y="2706414"/>
                  <a:pt x="1655379" y="2719552"/>
                </a:cubicBezTo>
                <a:lnTo>
                  <a:pt x="1675086" y="2739259"/>
                </a:lnTo>
                <a:lnTo>
                  <a:pt x="1701362" y="2765535"/>
                </a:lnTo>
                <a:cubicBezTo>
                  <a:pt x="1703552" y="2774294"/>
                  <a:pt x="1706160" y="2782958"/>
                  <a:pt x="1707931" y="2791811"/>
                </a:cubicBezTo>
                <a:cubicBezTo>
                  <a:pt x="1710543" y="2804871"/>
                  <a:pt x="1710288" y="2818589"/>
                  <a:pt x="1714500" y="2831224"/>
                </a:cubicBezTo>
                <a:cubicBezTo>
                  <a:pt x="1716997" y="2838714"/>
                  <a:pt x="1723259" y="2844362"/>
                  <a:pt x="1727638" y="2850931"/>
                </a:cubicBezTo>
                <a:cubicBezTo>
                  <a:pt x="1729828" y="2872828"/>
                  <a:pt x="1731095" y="2894836"/>
                  <a:pt x="1734207" y="2916621"/>
                </a:cubicBezTo>
                <a:cubicBezTo>
                  <a:pt x="1739929" y="2956678"/>
                  <a:pt x="1739858" y="2928915"/>
                  <a:pt x="1747345" y="2962604"/>
                </a:cubicBezTo>
                <a:cubicBezTo>
                  <a:pt x="1750234" y="2975606"/>
                  <a:pt x="1746526" y="2990935"/>
                  <a:pt x="1753914" y="3002017"/>
                </a:cubicBezTo>
                <a:cubicBezTo>
                  <a:pt x="1760996" y="3012640"/>
                  <a:pt x="1775810" y="3015155"/>
                  <a:pt x="1786758" y="3021724"/>
                </a:cubicBezTo>
                <a:cubicBezTo>
                  <a:pt x="1791137" y="3028293"/>
                  <a:pt x="1793201" y="3037247"/>
                  <a:pt x="1799896" y="3041431"/>
                </a:cubicBezTo>
                <a:cubicBezTo>
                  <a:pt x="1811640" y="3048771"/>
                  <a:pt x="1826923" y="3048376"/>
                  <a:pt x="1839310" y="3054569"/>
                </a:cubicBezTo>
                <a:cubicBezTo>
                  <a:pt x="1848069" y="3058948"/>
                  <a:pt x="1857282" y="3062517"/>
                  <a:pt x="1865586" y="3067707"/>
                </a:cubicBezTo>
                <a:cubicBezTo>
                  <a:pt x="1874870" y="3073510"/>
                  <a:pt x="1882291" y="3082097"/>
                  <a:pt x="1891862" y="3087414"/>
                </a:cubicBezTo>
                <a:cubicBezTo>
                  <a:pt x="1947915" y="3118555"/>
                  <a:pt x="1902437" y="3083348"/>
                  <a:pt x="1950983" y="3113690"/>
                </a:cubicBezTo>
                <a:cubicBezTo>
                  <a:pt x="1996433" y="3142097"/>
                  <a:pt x="1958247" y="3127060"/>
                  <a:pt x="1996965" y="3139966"/>
                </a:cubicBezTo>
                <a:cubicBezTo>
                  <a:pt x="2001344" y="3146535"/>
                  <a:pt x="2003679" y="3155084"/>
                  <a:pt x="2010103" y="3159673"/>
                </a:cubicBezTo>
                <a:cubicBezTo>
                  <a:pt x="2023425" y="3169189"/>
                  <a:pt x="2052874" y="3175292"/>
                  <a:pt x="2069224" y="3179379"/>
                </a:cubicBezTo>
                <a:cubicBezTo>
                  <a:pt x="2075793" y="3183758"/>
                  <a:pt x="2081369" y="3190248"/>
                  <a:pt x="2088931" y="3192517"/>
                </a:cubicBezTo>
                <a:cubicBezTo>
                  <a:pt x="2103452" y="3196873"/>
                  <a:pt x="2195183" y="3205113"/>
                  <a:pt x="2200603" y="3205655"/>
                </a:cubicBezTo>
                <a:cubicBezTo>
                  <a:pt x="2211551" y="3212224"/>
                  <a:pt x="2221781" y="3220176"/>
                  <a:pt x="2233448" y="3225362"/>
                </a:cubicBezTo>
                <a:cubicBezTo>
                  <a:pt x="2241698" y="3229029"/>
                  <a:pt x="2251885" y="3227452"/>
                  <a:pt x="2259724" y="3231931"/>
                </a:cubicBezTo>
                <a:cubicBezTo>
                  <a:pt x="2320603" y="3266719"/>
                  <a:pt x="2236611" y="3240933"/>
                  <a:pt x="2305707" y="3258207"/>
                </a:cubicBezTo>
                <a:cubicBezTo>
                  <a:pt x="2327047" y="3272434"/>
                  <a:pt x="2346634" y="3284481"/>
                  <a:pt x="2364827" y="3304190"/>
                </a:cubicBezTo>
                <a:cubicBezTo>
                  <a:pt x="2379679" y="3320280"/>
                  <a:pt x="2404241" y="3334845"/>
                  <a:pt x="2404241" y="3356742"/>
                </a:cubicBezTo>
                <a:lnTo>
                  <a:pt x="2404241" y="3402724"/>
                </a:lnTo>
              </a:path>
            </a:pathLst>
          </a:cu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40" name="Freeform 39">
            <a:extLst>
              <a:ext uri="{FF2B5EF4-FFF2-40B4-BE49-F238E27FC236}">
                <a16:creationId xmlns:a16="http://schemas.microsoft.com/office/drawing/2014/main" id="{00000000-0008-0000-0500-000028000000}"/>
              </a:ext>
            </a:extLst>
          </xdr:cNvPr>
          <xdr:cNvSpPr/>
        </xdr:nvSpPr>
        <xdr:spPr>
          <a:xfrm>
            <a:off x="3442138" y="1372914"/>
            <a:ext cx="3888828" cy="2673569"/>
          </a:xfrm>
          <a:custGeom>
            <a:avLst/>
            <a:gdLst>
              <a:gd name="connsiteX0" fmla="*/ 0 w 3888828"/>
              <a:gd name="connsiteY0" fmla="*/ 59120 h 2673569"/>
              <a:gd name="connsiteX1" fmla="*/ 52552 w 3888828"/>
              <a:gd name="connsiteY1" fmla="*/ 45983 h 2673569"/>
              <a:gd name="connsiteX2" fmla="*/ 131379 w 3888828"/>
              <a:gd name="connsiteY2" fmla="*/ 39414 h 2673569"/>
              <a:gd name="connsiteX3" fmla="*/ 170793 w 3888828"/>
              <a:gd name="connsiteY3" fmla="*/ 19707 h 2673569"/>
              <a:gd name="connsiteX4" fmla="*/ 210207 w 3888828"/>
              <a:gd name="connsiteY4" fmla="*/ 6569 h 2673569"/>
              <a:gd name="connsiteX5" fmla="*/ 229914 w 3888828"/>
              <a:gd name="connsiteY5" fmla="*/ 0 h 2673569"/>
              <a:gd name="connsiteX6" fmla="*/ 459828 w 3888828"/>
              <a:gd name="connsiteY6" fmla="*/ 6569 h 2673569"/>
              <a:gd name="connsiteX7" fmla="*/ 486103 w 3888828"/>
              <a:gd name="connsiteY7" fmla="*/ 59120 h 2673569"/>
              <a:gd name="connsiteX8" fmla="*/ 499241 w 3888828"/>
              <a:gd name="connsiteY8" fmla="*/ 105103 h 2673569"/>
              <a:gd name="connsiteX9" fmla="*/ 518948 w 3888828"/>
              <a:gd name="connsiteY9" fmla="*/ 124810 h 2673569"/>
              <a:gd name="connsiteX10" fmla="*/ 564931 w 3888828"/>
              <a:gd name="connsiteY10" fmla="*/ 170793 h 2673569"/>
              <a:gd name="connsiteX11" fmla="*/ 584638 w 3888828"/>
              <a:gd name="connsiteY11" fmla="*/ 210207 h 2673569"/>
              <a:gd name="connsiteX12" fmla="*/ 604345 w 3888828"/>
              <a:gd name="connsiteY12" fmla="*/ 223345 h 2673569"/>
              <a:gd name="connsiteX13" fmla="*/ 643759 w 3888828"/>
              <a:gd name="connsiteY13" fmla="*/ 289034 h 2673569"/>
              <a:gd name="connsiteX14" fmla="*/ 670034 w 3888828"/>
              <a:gd name="connsiteY14" fmla="*/ 335017 h 2673569"/>
              <a:gd name="connsiteX15" fmla="*/ 709448 w 3888828"/>
              <a:gd name="connsiteY15" fmla="*/ 394138 h 2673569"/>
              <a:gd name="connsiteX16" fmla="*/ 716017 w 3888828"/>
              <a:gd name="connsiteY16" fmla="*/ 413845 h 2673569"/>
              <a:gd name="connsiteX17" fmla="*/ 722586 w 3888828"/>
              <a:gd name="connsiteY17" fmla="*/ 453258 h 2673569"/>
              <a:gd name="connsiteX18" fmla="*/ 762000 w 3888828"/>
              <a:gd name="connsiteY18" fmla="*/ 479534 h 2673569"/>
              <a:gd name="connsiteX19" fmla="*/ 807983 w 3888828"/>
              <a:gd name="connsiteY19" fmla="*/ 538655 h 2673569"/>
              <a:gd name="connsiteX20" fmla="*/ 860534 w 3888828"/>
              <a:gd name="connsiteY20" fmla="*/ 584638 h 2673569"/>
              <a:gd name="connsiteX21" fmla="*/ 899948 w 3888828"/>
              <a:gd name="connsiteY21" fmla="*/ 597776 h 2673569"/>
              <a:gd name="connsiteX22" fmla="*/ 932793 w 3888828"/>
              <a:gd name="connsiteY22" fmla="*/ 617483 h 2673569"/>
              <a:gd name="connsiteX23" fmla="*/ 985345 w 3888828"/>
              <a:gd name="connsiteY23" fmla="*/ 630620 h 2673569"/>
              <a:gd name="connsiteX24" fmla="*/ 998483 w 3888828"/>
              <a:gd name="connsiteY24" fmla="*/ 656896 h 2673569"/>
              <a:gd name="connsiteX25" fmla="*/ 1044465 w 3888828"/>
              <a:gd name="connsiteY25" fmla="*/ 709448 h 2673569"/>
              <a:gd name="connsiteX26" fmla="*/ 1090448 w 3888828"/>
              <a:gd name="connsiteY26" fmla="*/ 755431 h 2673569"/>
              <a:gd name="connsiteX27" fmla="*/ 1123293 w 3888828"/>
              <a:gd name="connsiteY27" fmla="*/ 788276 h 2673569"/>
              <a:gd name="connsiteX28" fmla="*/ 1136431 w 3888828"/>
              <a:gd name="connsiteY28" fmla="*/ 807983 h 2673569"/>
              <a:gd name="connsiteX29" fmla="*/ 1143000 w 3888828"/>
              <a:gd name="connsiteY29" fmla="*/ 827689 h 2673569"/>
              <a:gd name="connsiteX30" fmla="*/ 1162707 w 3888828"/>
              <a:gd name="connsiteY30" fmla="*/ 834258 h 2673569"/>
              <a:gd name="connsiteX31" fmla="*/ 1248103 w 3888828"/>
              <a:gd name="connsiteY31" fmla="*/ 899948 h 2673569"/>
              <a:gd name="connsiteX32" fmla="*/ 1313793 w 3888828"/>
              <a:gd name="connsiteY32" fmla="*/ 926224 h 2673569"/>
              <a:gd name="connsiteX33" fmla="*/ 1366345 w 3888828"/>
              <a:gd name="connsiteY33" fmla="*/ 991914 h 2673569"/>
              <a:gd name="connsiteX34" fmla="*/ 1379483 w 3888828"/>
              <a:gd name="connsiteY34" fmla="*/ 1024758 h 2673569"/>
              <a:gd name="connsiteX35" fmla="*/ 1451741 w 3888828"/>
              <a:gd name="connsiteY35" fmla="*/ 1083879 h 2673569"/>
              <a:gd name="connsiteX36" fmla="*/ 1484586 w 3888828"/>
              <a:gd name="connsiteY36" fmla="*/ 1116724 h 2673569"/>
              <a:gd name="connsiteX37" fmla="*/ 1510862 w 3888828"/>
              <a:gd name="connsiteY37" fmla="*/ 1195552 h 2673569"/>
              <a:gd name="connsiteX38" fmla="*/ 1517431 w 3888828"/>
              <a:gd name="connsiteY38" fmla="*/ 1234965 h 2673569"/>
              <a:gd name="connsiteX39" fmla="*/ 1596259 w 3888828"/>
              <a:gd name="connsiteY39" fmla="*/ 1340069 h 2673569"/>
              <a:gd name="connsiteX40" fmla="*/ 1609396 w 3888828"/>
              <a:gd name="connsiteY40" fmla="*/ 1366345 h 2673569"/>
              <a:gd name="connsiteX41" fmla="*/ 1629103 w 3888828"/>
              <a:gd name="connsiteY41" fmla="*/ 1405758 h 2673569"/>
              <a:gd name="connsiteX42" fmla="*/ 1655379 w 3888828"/>
              <a:gd name="connsiteY42" fmla="*/ 1425465 h 2673569"/>
              <a:gd name="connsiteX43" fmla="*/ 1668517 w 3888828"/>
              <a:gd name="connsiteY43" fmla="*/ 1451741 h 2673569"/>
              <a:gd name="connsiteX44" fmla="*/ 1721069 w 3888828"/>
              <a:gd name="connsiteY44" fmla="*/ 1471448 h 2673569"/>
              <a:gd name="connsiteX45" fmla="*/ 1740776 w 3888828"/>
              <a:gd name="connsiteY45" fmla="*/ 1497724 h 2673569"/>
              <a:gd name="connsiteX46" fmla="*/ 1747345 w 3888828"/>
              <a:gd name="connsiteY46" fmla="*/ 1524000 h 2673569"/>
              <a:gd name="connsiteX47" fmla="*/ 1773621 w 3888828"/>
              <a:gd name="connsiteY47" fmla="*/ 1543707 h 2673569"/>
              <a:gd name="connsiteX48" fmla="*/ 1793328 w 3888828"/>
              <a:gd name="connsiteY48" fmla="*/ 1615965 h 2673569"/>
              <a:gd name="connsiteX49" fmla="*/ 1813034 w 3888828"/>
              <a:gd name="connsiteY49" fmla="*/ 1629103 h 2673569"/>
              <a:gd name="connsiteX50" fmla="*/ 1819603 w 3888828"/>
              <a:gd name="connsiteY50" fmla="*/ 1675086 h 2673569"/>
              <a:gd name="connsiteX51" fmla="*/ 1839310 w 3888828"/>
              <a:gd name="connsiteY51" fmla="*/ 1694793 h 2673569"/>
              <a:gd name="connsiteX52" fmla="*/ 1859017 w 3888828"/>
              <a:gd name="connsiteY52" fmla="*/ 1721069 h 2673569"/>
              <a:gd name="connsiteX53" fmla="*/ 1865586 w 3888828"/>
              <a:gd name="connsiteY53" fmla="*/ 1740776 h 2673569"/>
              <a:gd name="connsiteX54" fmla="*/ 1905000 w 3888828"/>
              <a:gd name="connsiteY54" fmla="*/ 1786758 h 2673569"/>
              <a:gd name="connsiteX55" fmla="*/ 1944414 w 3888828"/>
              <a:gd name="connsiteY55" fmla="*/ 1826172 h 2673569"/>
              <a:gd name="connsiteX56" fmla="*/ 1990396 w 3888828"/>
              <a:gd name="connsiteY56" fmla="*/ 1859017 h 2673569"/>
              <a:gd name="connsiteX57" fmla="*/ 2003534 w 3888828"/>
              <a:gd name="connsiteY57" fmla="*/ 1885293 h 2673569"/>
              <a:gd name="connsiteX58" fmla="*/ 2023241 w 3888828"/>
              <a:gd name="connsiteY58" fmla="*/ 1905000 h 2673569"/>
              <a:gd name="connsiteX59" fmla="*/ 2036379 w 3888828"/>
              <a:gd name="connsiteY59" fmla="*/ 1924707 h 2673569"/>
              <a:gd name="connsiteX60" fmla="*/ 2042948 w 3888828"/>
              <a:gd name="connsiteY60" fmla="*/ 1970689 h 2673569"/>
              <a:gd name="connsiteX61" fmla="*/ 2088931 w 3888828"/>
              <a:gd name="connsiteY61" fmla="*/ 2016672 h 2673569"/>
              <a:gd name="connsiteX62" fmla="*/ 2174328 w 3888828"/>
              <a:gd name="connsiteY62" fmla="*/ 2042948 h 2673569"/>
              <a:gd name="connsiteX63" fmla="*/ 2194034 w 3888828"/>
              <a:gd name="connsiteY63" fmla="*/ 2069224 h 2673569"/>
              <a:gd name="connsiteX64" fmla="*/ 2213741 w 3888828"/>
              <a:gd name="connsiteY64" fmla="*/ 2088931 h 2673569"/>
              <a:gd name="connsiteX65" fmla="*/ 2226879 w 3888828"/>
              <a:gd name="connsiteY65" fmla="*/ 2115207 h 2673569"/>
              <a:gd name="connsiteX66" fmla="*/ 2246586 w 3888828"/>
              <a:gd name="connsiteY66" fmla="*/ 2148052 h 2673569"/>
              <a:gd name="connsiteX67" fmla="*/ 2266293 w 3888828"/>
              <a:gd name="connsiteY67" fmla="*/ 2167758 h 2673569"/>
              <a:gd name="connsiteX68" fmla="*/ 2299138 w 3888828"/>
              <a:gd name="connsiteY68" fmla="*/ 2194034 h 2673569"/>
              <a:gd name="connsiteX69" fmla="*/ 2325414 w 3888828"/>
              <a:gd name="connsiteY69" fmla="*/ 2220310 h 2673569"/>
              <a:gd name="connsiteX70" fmla="*/ 2338552 w 3888828"/>
              <a:gd name="connsiteY70" fmla="*/ 2240017 h 2673569"/>
              <a:gd name="connsiteX71" fmla="*/ 2377965 w 3888828"/>
              <a:gd name="connsiteY71" fmla="*/ 2246586 h 2673569"/>
              <a:gd name="connsiteX72" fmla="*/ 2437086 w 3888828"/>
              <a:gd name="connsiteY72" fmla="*/ 2253155 h 2673569"/>
              <a:gd name="connsiteX73" fmla="*/ 2456793 w 3888828"/>
              <a:gd name="connsiteY73" fmla="*/ 2272862 h 2673569"/>
              <a:gd name="connsiteX74" fmla="*/ 2489638 w 3888828"/>
              <a:gd name="connsiteY74" fmla="*/ 2299138 h 2673569"/>
              <a:gd name="connsiteX75" fmla="*/ 2502776 w 3888828"/>
              <a:gd name="connsiteY75" fmla="*/ 2318845 h 2673569"/>
              <a:gd name="connsiteX76" fmla="*/ 2529052 w 3888828"/>
              <a:gd name="connsiteY76" fmla="*/ 2331983 h 2673569"/>
              <a:gd name="connsiteX77" fmla="*/ 2614448 w 3888828"/>
              <a:gd name="connsiteY77" fmla="*/ 2351689 h 2673569"/>
              <a:gd name="connsiteX78" fmla="*/ 2680138 w 3888828"/>
              <a:gd name="connsiteY78" fmla="*/ 2371396 h 2673569"/>
              <a:gd name="connsiteX79" fmla="*/ 2706414 w 3888828"/>
              <a:gd name="connsiteY79" fmla="*/ 2377965 h 2673569"/>
              <a:gd name="connsiteX80" fmla="*/ 2818086 w 3888828"/>
              <a:gd name="connsiteY80" fmla="*/ 2364827 h 2673569"/>
              <a:gd name="connsiteX81" fmla="*/ 2896914 w 3888828"/>
              <a:gd name="connsiteY81" fmla="*/ 2358258 h 2673569"/>
              <a:gd name="connsiteX82" fmla="*/ 2923190 w 3888828"/>
              <a:gd name="connsiteY82" fmla="*/ 2345120 h 2673569"/>
              <a:gd name="connsiteX83" fmla="*/ 2942896 w 3888828"/>
              <a:gd name="connsiteY83" fmla="*/ 2338552 h 2673569"/>
              <a:gd name="connsiteX84" fmla="*/ 2988879 w 3888828"/>
              <a:gd name="connsiteY84" fmla="*/ 2305707 h 2673569"/>
              <a:gd name="connsiteX85" fmla="*/ 3015155 w 3888828"/>
              <a:gd name="connsiteY85" fmla="*/ 2299138 h 2673569"/>
              <a:gd name="connsiteX86" fmla="*/ 3034862 w 3888828"/>
              <a:gd name="connsiteY86" fmla="*/ 2279431 h 2673569"/>
              <a:gd name="connsiteX87" fmla="*/ 3067707 w 3888828"/>
              <a:gd name="connsiteY87" fmla="*/ 2272862 h 2673569"/>
              <a:gd name="connsiteX88" fmla="*/ 3146534 w 3888828"/>
              <a:gd name="connsiteY88" fmla="*/ 2253155 h 2673569"/>
              <a:gd name="connsiteX89" fmla="*/ 3297621 w 3888828"/>
              <a:gd name="connsiteY89" fmla="*/ 2272862 h 2673569"/>
              <a:gd name="connsiteX90" fmla="*/ 3323896 w 3888828"/>
              <a:gd name="connsiteY90" fmla="*/ 2299138 h 2673569"/>
              <a:gd name="connsiteX91" fmla="*/ 3363310 w 3888828"/>
              <a:gd name="connsiteY91" fmla="*/ 2331983 h 2673569"/>
              <a:gd name="connsiteX92" fmla="*/ 3396155 w 3888828"/>
              <a:gd name="connsiteY92" fmla="*/ 2351689 h 2673569"/>
              <a:gd name="connsiteX93" fmla="*/ 3415862 w 3888828"/>
              <a:gd name="connsiteY93" fmla="*/ 2364827 h 2673569"/>
              <a:gd name="connsiteX94" fmla="*/ 3527534 w 3888828"/>
              <a:gd name="connsiteY94" fmla="*/ 2377965 h 2673569"/>
              <a:gd name="connsiteX95" fmla="*/ 3540672 w 3888828"/>
              <a:gd name="connsiteY95" fmla="*/ 2397672 h 2673569"/>
              <a:gd name="connsiteX96" fmla="*/ 3560379 w 3888828"/>
              <a:gd name="connsiteY96" fmla="*/ 2417379 h 2673569"/>
              <a:gd name="connsiteX97" fmla="*/ 3573517 w 3888828"/>
              <a:gd name="connsiteY97" fmla="*/ 2443655 h 2673569"/>
              <a:gd name="connsiteX98" fmla="*/ 3580086 w 3888828"/>
              <a:gd name="connsiteY98" fmla="*/ 2476500 h 2673569"/>
              <a:gd name="connsiteX99" fmla="*/ 3593224 w 3888828"/>
              <a:gd name="connsiteY99" fmla="*/ 2496207 h 2673569"/>
              <a:gd name="connsiteX100" fmla="*/ 3704896 w 3888828"/>
              <a:gd name="connsiteY100" fmla="*/ 2522483 h 2673569"/>
              <a:gd name="connsiteX101" fmla="*/ 3757448 w 3888828"/>
              <a:gd name="connsiteY101" fmla="*/ 2555327 h 2673569"/>
              <a:gd name="connsiteX102" fmla="*/ 3783724 w 3888828"/>
              <a:gd name="connsiteY102" fmla="*/ 2568465 h 2673569"/>
              <a:gd name="connsiteX103" fmla="*/ 3816569 w 3888828"/>
              <a:gd name="connsiteY103" fmla="*/ 2594741 h 2673569"/>
              <a:gd name="connsiteX104" fmla="*/ 3855983 w 3888828"/>
              <a:gd name="connsiteY104" fmla="*/ 2627586 h 2673569"/>
              <a:gd name="connsiteX105" fmla="*/ 3862552 w 3888828"/>
              <a:gd name="connsiteY105" fmla="*/ 2660431 h 2673569"/>
              <a:gd name="connsiteX106" fmla="*/ 3888828 w 3888828"/>
              <a:gd name="connsiteY106" fmla="*/ 2673569 h 267356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  <a:cxn ang="0">
                <a:pos x="connsiteX69" y="connsiteY69"/>
              </a:cxn>
              <a:cxn ang="0">
                <a:pos x="connsiteX70" y="connsiteY70"/>
              </a:cxn>
              <a:cxn ang="0">
                <a:pos x="connsiteX71" y="connsiteY71"/>
              </a:cxn>
              <a:cxn ang="0">
                <a:pos x="connsiteX72" y="connsiteY72"/>
              </a:cxn>
              <a:cxn ang="0">
                <a:pos x="connsiteX73" y="connsiteY73"/>
              </a:cxn>
              <a:cxn ang="0">
                <a:pos x="connsiteX74" y="connsiteY74"/>
              </a:cxn>
              <a:cxn ang="0">
                <a:pos x="connsiteX75" y="connsiteY75"/>
              </a:cxn>
              <a:cxn ang="0">
                <a:pos x="connsiteX76" y="connsiteY76"/>
              </a:cxn>
              <a:cxn ang="0">
                <a:pos x="connsiteX77" y="connsiteY77"/>
              </a:cxn>
              <a:cxn ang="0">
                <a:pos x="connsiteX78" y="connsiteY78"/>
              </a:cxn>
              <a:cxn ang="0">
                <a:pos x="connsiteX79" y="connsiteY79"/>
              </a:cxn>
              <a:cxn ang="0">
                <a:pos x="connsiteX80" y="connsiteY80"/>
              </a:cxn>
              <a:cxn ang="0">
                <a:pos x="connsiteX81" y="connsiteY81"/>
              </a:cxn>
              <a:cxn ang="0">
                <a:pos x="connsiteX82" y="connsiteY82"/>
              </a:cxn>
              <a:cxn ang="0">
                <a:pos x="connsiteX83" y="connsiteY83"/>
              </a:cxn>
              <a:cxn ang="0">
                <a:pos x="connsiteX84" y="connsiteY84"/>
              </a:cxn>
              <a:cxn ang="0">
                <a:pos x="connsiteX85" y="connsiteY85"/>
              </a:cxn>
              <a:cxn ang="0">
                <a:pos x="connsiteX86" y="connsiteY86"/>
              </a:cxn>
              <a:cxn ang="0">
                <a:pos x="connsiteX87" y="connsiteY87"/>
              </a:cxn>
              <a:cxn ang="0">
                <a:pos x="connsiteX88" y="connsiteY88"/>
              </a:cxn>
              <a:cxn ang="0">
                <a:pos x="connsiteX89" y="connsiteY89"/>
              </a:cxn>
              <a:cxn ang="0">
                <a:pos x="connsiteX90" y="connsiteY90"/>
              </a:cxn>
              <a:cxn ang="0">
                <a:pos x="connsiteX91" y="connsiteY91"/>
              </a:cxn>
              <a:cxn ang="0">
                <a:pos x="connsiteX92" y="connsiteY92"/>
              </a:cxn>
              <a:cxn ang="0">
                <a:pos x="connsiteX93" y="connsiteY93"/>
              </a:cxn>
              <a:cxn ang="0">
                <a:pos x="connsiteX94" y="connsiteY94"/>
              </a:cxn>
              <a:cxn ang="0">
                <a:pos x="connsiteX95" y="connsiteY95"/>
              </a:cxn>
              <a:cxn ang="0">
                <a:pos x="connsiteX96" y="connsiteY96"/>
              </a:cxn>
              <a:cxn ang="0">
                <a:pos x="connsiteX97" y="connsiteY97"/>
              </a:cxn>
              <a:cxn ang="0">
                <a:pos x="connsiteX98" y="connsiteY98"/>
              </a:cxn>
              <a:cxn ang="0">
                <a:pos x="connsiteX99" y="connsiteY99"/>
              </a:cxn>
              <a:cxn ang="0">
                <a:pos x="connsiteX100" y="connsiteY100"/>
              </a:cxn>
              <a:cxn ang="0">
                <a:pos x="connsiteX101" y="connsiteY101"/>
              </a:cxn>
              <a:cxn ang="0">
                <a:pos x="connsiteX102" y="connsiteY102"/>
              </a:cxn>
              <a:cxn ang="0">
                <a:pos x="connsiteX103" y="connsiteY103"/>
              </a:cxn>
              <a:cxn ang="0">
                <a:pos x="connsiteX104" y="connsiteY104"/>
              </a:cxn>
              <a:cxn ang="0">
                <a:pos x="connsiteX105" y="connsiteY105"/>
              </a:cxn>
              <a:cxn ang="0">
                <a:pos x="connsiteX106" y="connsiteY106"/>
              </a:cxn>
            </a:cxnLst>
            <a:rect l="l" t="t" r="r" b="b"/>
            <a:pathLst>
              <a:path w="3888828" h="2673569">
                <a:moveTo>
                  <a:pt x="0" y="59120"/>
                </a:moveTo>
                <a:cubicBezTo>
                  <a:pt x="17517" y="54741"/>
                  <a:pt x="34695" y="48661"/>
                  <a:pt x="52552" y="45983"/>
                </a:cubicBezTo>
                <a:cubicBezTo>
                  <a:pt x="78627" y="42072"/>
                  <a:pt x="105640" y="45134"/>
                  <a:pt x="131379" y="39414"/>
                </a:cubicBezTo>
                <a:cubicBezTo>
                  <a:pt x="145718" y="36228"/>
                  <a:pt x="157234" y="25357"/>
                  <a:pt x="170793" y="19707"/>
                </a:cubicBezTo>
                <a:cubicBezTo>
                  <a:pt x="183576" y="14381"/>
                  <a:pt x="197069" y="10948"/>
                  <a:pt x="210207" y="6569"/>
                </a:cubicBezTo>
                <a:lnTo>
                  <a:pt x="229914" y="0"/>
                </a:lnTo>
                <a:lnTo>
                  <a:pt x="459828" y="6569"/>
                </a:lnTo>
                <a:cubicBezTo>
                  <a:pt x="469665" y="8122"/>
                  <a:pt x="482780" y="47491"/>
                  <a:pt x="486103" y="59120"/>
                </a:cubicBezTo>
                <a:cubicBezTo>
                  <a:pt x="487198" y="62952"/>
                  <a:pt x="495303" y="99197"/>
                  <a:pt x="499241" y="105103"/>
                </a:cubicBezTo>
                <a:cubicBezTo>
                  <a:pt x="504394" y="112833"/>
                  <a:pt x="512902" y="117757"/>
                  <a:pt x="518948" y="124810"/>
                </a:cubicBezTo>
                <a:cubicBezTo>
                  <a:pt x="555734" y="167727"/>
                  <a:pt x="519386" y="136634"/>
                  <a:pt x="564931" y="170793"/>
                </a:cubicBezTo>
                <a:cubicBezTo>
                  <a:pt x="570274" y="186821"/>
                  <a:pt x="571904" y="197473"/>
                  <a:pt x="584638" y="210207"/>
                </a:cubicBezTo>
                <a:cubicBezTo>
                  <a:pt x="590221" y="215790"/>
                  <a:pt x="597776" y="218966"/>
                  <a:pt x="604345" y="223345"/>
                </a:cubicBezTo>
                <a:cubicBezTo>
                  <a:pt x="630707" y="302429"/>
                  <a:pt x="599366" y="227993"/>
                  <a:pt x="643759" y="289034"/>
                </a:cubicBezTo>
                <a:cubicBezTo>
                  <a:pt x="654142" y="303311"/>
                  <a:pt x="660678" y="320047"/>
                  <a:pt x="670034" y="335017"/>
                </a:cubicBezTo>
                <a:cubicBezTo>
                  <a:pt x="682587" y="355102"/>
                  <a:pt x="701958" y="371669"/>
                  <a:pt x="709448" y="394138"/>
                </a:cubicBezTo>
                <a:cubicBezTo>
                  <a:pt x="711638" y="400707"/>
                  <a:pt x="714515" y="407086"/>
                  <a:pt x="716017" y="413845"/>
                </a:cubicBezTo>
                <a:cubicBezTo>
                  <a:pt x="718906" y="426847"/>
                  <a:pt x="714948" y="442347"/>
                  <a:pt x="722586" y="453258"/>
                </a:cubicBezTo>
                <a:cubicBezTo>
                  <a:pt x="731641" y="466194"/>
                  <a:pt x="762000" y="479534"/>
                  <a:pt x="762000" y="479534"/>
                </a:cubicBezTo>
                <a:cubicBezTo>
                  <a:pt x="774444" y="516867"/>
                  <a:pt x="763673" y="494345"/>
                  <a:pt x="807983" y="538655"/>
                </a:cubicBezTo>
                <a:cubicBezTo>
                  <a:pt x="822724" y="553396"/>
                  <a:pt x="842893" y="575015"/>
                  <a:pt x="860534" y="584638"/>
                </a:cubicBezTo>
                <a:cubicBezTo>
                  <a:pt x="872692" y="591270"/>
                  <a:pt x="888073" y="590651"/>
                  <a:pt x="899948" y="597776"/>
                </a:cubicBezTo>
                <a:cubicBezTo>
                  <a:pt x="910896" y="604345"/>
                  <a:pt x="921373" y="611773"/>
                  <a:pt x="932793" y="617483"/>
                </a:cubicBezTo>
                <a:cubicBezTo>
                  <a:pt x="946261" y="624217"/>
                  <a:pt x="972849" y="628121"/>
                  <a:pt x="985345" y="630620"/>
                </a:cubicBezTo>
                <a:cubicBezTo>
                  <a:pt x="989724" y="639379"/>
                  <a:pt x="993051" y="648748"/>
                  <a:pt x="998483" y="656896"/>
                </a:cubicBezTo>
                <a:cubicBezTo>
                  <a:pt x="1014521" y="680953"/>
                  <a:pt x="1025474" y="690456"/>
                  <a:pt x="1044465" y="709448"/>
                </a:cubicBezTo>
                <a:cubicBezTo>
                  <a:pt x="1057403" y="748262"/>
                  <a:pt x="1042135" y="715903"/>
                  <a:pt x="1090448" y="755431"/>
                </a:cubicBezTo>
                <a:cubicBezTo>
                  <a:pt x="1102431" y="765236"/>
                  <a:pt x="1113097" y="776624"/>
                  <a:pt x="1123293" y="788276"/>
                </a:cubicBezTo>
                <a:cubicBezTo>
                  <a:pt x="1128492" y="794218"/>
                  <a:pt x="1132900" y="800922"/>
                  <a:pt x="1136431" y="807983"/>
                </a:cubicBezTo>
                <a:cubicBezTo>
                  <a:pt x="1139528" y="814176"/>
                  <a:pt x="1138104" y="822793"/>
                  <a:pt x="1143000" y="827689"/>
                </a:cubicBezTo>
                <a:cubicBezTo>
                  <a:pt x="1147896" y="832585"/>
                  <a:pt x="1156138" y="832068"/>
                  <a:pt x="1162707" y="834258"/>
                </a:cubicBezTo>
                <a:cubicBezTo>
                  <a:pt x="1186013" y="869217"/>
                  <a:pt x="1189683" y="880475"/>
                  <a:pt x="1248103" y="899948"/>
                </a:cubicBezTo>
                <a:cubicBezTo>
                  <a:pt x="1264001" y="905247"/>
                  <a:pt x="1298328" y="914625"/>
                  <a:pt x="1313793" y="926224"/>
                </a:cubicBezTo>
                <a:cubicBezTo>
                  <a:pt x="1334593" y="941824"/>
                  <a:pt x="1354411" y="970036"/>
                  <a:pt x="1366345" y="991914"/>
                </a:cubicBezTo>
                <a:cubicBezTo>
                  <a:pt x="1371991" y="1002266"/>
                  <a:pt x="1372408" y="1015325"/>
                  <a:pt x="1379483" y="1024758"/>
                </a:cubicBezTo>
                <a:cubicBezTo>
                  <a:pt x="1451187" y="1120364"/>
                  <a:pt x="1397585" y="1041758"/>
                  <a:pt x="1451741" y="1083879"/>
                </a:cubicBezTo>
                <a:cubicBezTo>
                  <a:pt x="1463963" y="1093385"/>
                  <a:pt x="1473638" y="1105776"/>
                  <a:pt x="1484586" y="1116724"/>
                </a:cubicBezTo>
                <a:cubicBezTo>
                  <a:pt x="1498138" y="1150604"/>
                  <a:pt x="1501929" y="1156841"/>
                  <a:pt x="1510862" y="1195552"/>
                </a:cubicBezTo>
                <a:cubicBezTo>
                  <a:pt x="1513857" y="1208530"/>
                  <a:pt x="1511163" y="1223213"/>
                  <a:pt x="1517431" y="1234965"/>
                </a:cubicBezTo>
                <a:cubicBezTo>
                  <a:pt x="1544946" y="1286555"/>
                  <a:pt x="1571561" y="1290670"/>
                  <a:pt x="1596259" y="1340069"/>
                </a:cubicBezTo>
                <a:cubicBezTo>
                  <a:pt x="1600638" y="1348828"/>
                  <a:pt x="1605539" y="1357344"/>
                  <a:pt x="1609396" y="1366345"/>
                </a:cubicBezTo>
                <a:cubicBezTo>
                  <a:pt x="1617410" y="1385044"/>
                  <a:pt x="1613323" y="1389979"/>
                  <a:pt x="1629103" y="1405758"/>
                </a:cubicBezTo>
                <a:cubicBezTo>
                  <a:pt x="1636845" y="1413500"/>
                  <a:pt x="1646620" y="1418896"/>
                  <a:pt x="1655379" y="1425465"/>
                </a:cubicBezTo>
                <a:cubicBezTo>
                  <a:pt x="1659758" y="1434224"/>
                  <a:pt x="1661593" y="1444817"/>
                  <a:pt x="1668517" y="1451741"/>
                </a:cubicBezTo>
                <a:cubicBezTo>
                  <a:pt x="1679967" y="1463191"/>
                  <a:pt x="1706406" y="1467782"/>
                  <a:pt x="1721069" y="1471448"/>
                </a:cubicBezTo>
                <a:cubicBezTo>
                  <a:pt x="1727638" y="1480207"/>
                  <a:pt x="1735880" y="1487932"/>
                  <a:pt x="1740776" y="1497724"/>
                </a:cubicBezTo>
                <a:cubicBezTo>
                  <a:pt x="1744814" y="1505799"/>
                  <a:pt x="1742097" y="1516653"/>
                  <a:pt x="1747345" y="1524000"/>
                </a:cubicBezTo>
                <a:cubicBezTo>
                  <a:pt x="1753709" y="1532909"/>
                  <a:pt x="1764862" y="1537138"/>
                  <a:pt x="1773621" y="1543707"/>
                </a:cubicBezTo>
                <a:cubicBezTo>
                  <a:pt x="1775670" y="1553951"/>
                  <a:pt x="1785634" y="1610836"/>
                  <a:pt x="1793328" y="1615965"/>
                </a:cubicBezTo>
                <a:lnTo>
                  <a:pt x="1813034" y="1629103"/>
                </a:lnTo>
                <a:cubicBezTo>
                  <a:pt x="1815224" y="1644431"/>
                  <a:pt x="1813853" y="1660710"/>
                  <a:pt x="1819603" y="1675086"/>
                </a:cubicBezTo>
                <a:cubicBezTo>
                  <a:pt x="1823053" y="1683712"/>
                  <a:pt x="1833264" y="1687740"/>
                  <a:pt x="1839310" y="1694793"/>
                </a:cubicBezTo>
                <a:cubicBezTo>
                  <a:pt x="1846435" y="1703106"/>
                  <a:pt x="1852448" y="1712310"/>
                  <a:pt x="1859017" y="1721069"/>
                </a:cubicBezTo>
                <a:cubicBezTo>
                  <a:pt x="1861207" y="1727638"/>
                  <a:pt x="1862489" y="1734583"/>
                  <a:pt x="1865586" y="1740776"/>
                </a:cubicBezTo>
                <a:cubicBezTo>
                  <a:pt x="1875591" y="1760785"/>
                  <a:pt x="1888837" y="1770595"/>
                  <a:pt x="1905000" y="1786758"/>
                </a:cubicBezTo>
                <a:cubicBezTo>
                  <a:pt x="1932527" y="1841812"/>
                  <a:pt x="1899369" y="1788635"/>
                  <a:pt x="1944414" y="1826172"/>
                </a:cubicBezTo>
                <a:cubicBezTo>
                  <a:pt x="1994368" y="1867801"/>
                  <a:pt x="1905004" y="1824859"/>
                  <a:pt x="1990396" y="1859017"/>
                </a:cubicBezTo>
                <a:cubicBezTo>
                  <a:pt x="1994775" y="1867776"/>
                  <a:pt x="1997842" y="1877325"/>
                  <a:pt x="2003534" y="1885293"/>
                </a:cubicBezTo>
                <a:cubicBezTo>
                  <a:pt x="2008934" y="1892853"/>
                  <a:pt x="2017294" y="1897863"/>
                  <a:pt x="2023241" y="1905000"/>
                </a:cubicBezTo>
                <a:cubicBezTo>
                  <a:pt x="2028295" y="1911065"/>
                  <a:pt x="2032000" y="1918138"/>
                  <a:pt x="2036379" y="1924707"/>
                </a:cubicBezTo>
                <a:cubicBezTo>
                  <a:pt x="2038569" y="1940034"/>
                  <a:pt x="2036993" y="1956397"/>
                  <a:pt x="2042948" y="1970689"/>
                </a:cubicBezTo>
                <a:cubicBezTo>
                  <a:pt x="2048408" y="1983793"/>
                  <a:pt x="2072056" y="2010344"/>
                  <a:pt x="2088931" y="2016672"/>
                </a:cubicBezTo>
                <a:cubicBezTo>
                  <a:pt x="2116817" y="2027129"/>
                  <a:pt x="2174328" y="2042948"/>
                  <a:pt x="2174328" y="2042948"/>
                </a:cubicBezTo>
                <a:cubicBezTo>
                  <a:pt x="2180897" y="2051707"/>
                  <a:pt x="2186909" y="2060911"/>
                  <a:pt x="2194034" y="2069224"/>
                </a:cubicBezTo>
                <a:cubicBezTo>
                  <a:pt x="2200080" y="2076278"/>
                  <a:pt x="2208341" y="2081371"/>
                  <a:pt x="2213741" y="2088931"/>
                </a:cubicBezTo>
                <a:cubicBezTo>
                  <a:pt x="2219433" y="2096899"/>
                  <a:pt x="2222123" y="2106647"/>
                  <a:pt x="2226879" y="2115207"/>
                </a:cubicBezTo>
                <a:cubicBezTo>
                  <a:pt x="2233080" y="2126368"/>
                  <a:pt x="2238925" y="2137838"/>
                  <a:pt x="2246586" y="2148052"/>
                </a:cubicBezTo>
                <a:cubicBezTo>
                  <a:pt x="2252160" y="2155484"/>
                  <a:pt x="2259724" y="2161189"/>
                  <a:pt x="2266293" y="2167758"/>
                </a:cubicBezTo>
                <a:cubicBezTo>
                  <a:pt x="2279712" y="2208016"/>
                  <a:pt x="2260935" y="2170157"/>
                  <a:pt x="2299138" y="2194034"/>
                </a:cubicBezTo>
                <a:cubicBezTo>
                  <a:pt x="2309642" y="2200599"/>
                  <a:pt x="2317353" y="2210905"/>
                  <a:pt x="2325414" y="2220310"/>
                </a:cubicBezTo>
                <a:cubicBezTo>
                  <a:pt x="2330552" y="2226304"/>
                  <a:pt x="2331491" y="2236486"/>
                  <a:pt x="2338552" y="2240017"/>
                </a:cubicBezTo>
                <a:cubicBezTo>
                  <a:pt x="2350465" y="2245973"/>
                  <a:pt x="2364763" y="2244826"/>
                  <a:pt x="2377965" y="2246586"/>
                </a:cubicBezTo>
                <a:cubicBezTo>
                  <a:pt x="2397619" y="2249207"/>
                  <a:pt x="2417379" y="2250965"/>
                  <a:pt x="2437086" y="2253155"/>
                </a:cubicBezTo>
                <a:cubicBezTo>
                  <a:pt x="2443655" y="2259724"/>
                  <a:pt x="2449802" y="2266745"/>
                  <a:pt x="2456793" y="2272862"/>
                </a:cubicBezTo>
                <a:cubicBezTo>
                  <a:pt x="2467345" y="2282095"/>
                  <a:pt x="2479724" y="2289224"/>
                  <a:pt x="2489638" y="2299138"/>
                </a:cubicBezTo>
                <a:cubicBezTo>
                  <a:pt x="2495221" y="2304721"/>
                  <a:pt x="2496711" y="2313791"/>
                  <a:pt x="2502776" y="2318845"/>
                </a:cubicBezTo>
                <a:cubicBezTo>
                  <a:pt x="2510299" y="2325114"/>
                  <a:pt x="2519960" y="2328346"/>
                  <a:pt x="2529052" y="2331983"/>
                </a:cubicBezTo>
                <a:cubicBezTo>
                  <a:pt x="2569125" y="2348012"/>
                  <a:pt x="2570441" y="2345402"/>
                  <a:pt x="2614448" y="2351689"/>
                </a:cubicBezTo>
                <a:lnTo>
                  <a:pt x="2680138" y="2371396"/>
                </a:lnTo>
                <a:cubicBezTo>
                  <a:pt x="2688819" y="2373876"/>
                  <a:pt x="2697396" y="2378394"/>
                  <a:pt x="2706414" y="2377965"/>
                </a:cubicBezTo>
                <a:cubicBezTo>
                  <a:pt x="2743852" y="2376182"/>
                  <a:pt x="2780804" y="2368684"/>
                  <a:pt x="2818086" y="2364827"/>
                </a:cubicBezTo>
                <a:cubicBezTo>
                  <a:pt x="2844313" y="2362114"/>
                  <a:pt x="2870638" y="2360448"/>
                  <a:pt x="2896914" y="2358258"/>
                </a:cubicBezTo>
                <a:cubicBezTo>
                  <a:pt x="2905673" y="2353879"/>
                  <a:pt x="2914189" y="2348977"/>
                  <a:pt x="2923190" y="2345120"/>
                </a:cubicBezTo>
                <a:cubicBezTo>
                  <a:pt x="2929554" y="2342393"/>
                  <a:pt x="2936884" y="2341987"/>
                  <a:pt x="2942896" y="2338552"/>
                </a:cubicBezTo>
                <a:cubicBezTo>
                  <a:pt x="2949626" y="2334706"/>
                  <a:pt x="2978712" y="2310064"/>
                  <a:pt x="2988879" y="2305707"/>
                </a:cubicBezTo>
                <a:cubicBezTo>
                  <a:pt x="2997177" y="2302151"/>
                  <a:pt x="3006396" y="2301328"/>
                  <a:pt x="3015155" y="2299138"/>
                </a:cubicBezTo>
                <a:cubicBezTo>
                  <a:pt x="3021724" y="2292569"/>
                  <a:pt x="3026553" y="2283586"/>
                  <a:pt x="3034862" y="2279431"/>
                </a:cubicBezTo>
                <a:cubicBezTo>
                  <a:pt x="3044848" y="2274438"/>
                  <a:pt x="3056790" y="2275201"/>
                  <a:pt x="3067707" y="2272862"/>
                </a:cubicBezTo>
                <a:cubicBezTo>
                  <a:pt x="3129196" y="2259686"/>
                  <a:pt x="3109182" y="2265606"/>
                  <a:pt x="3146534" y="2253155"/>
                </a:cubicBezTo>
                <a:cubicBezTo>
                  <a:pt x="3212146" y="2256436"/>
                  <a:pt x="3254692" y="2236065"/>
                  <a:pt x="3297621" y="2272862"/>
                </a:cubicBezTo>
                <a:cubicBezTo>
                  <a:pt x="3307025" y="2280923"/>
                  <a:pt x="3315138" y="2290379"/>
                  <a:pt x="3323896" y="2299138"/>
                </a:cubicBezTo>
                <a:cubicBezTo>
                  <a:pt x="3335046" y="2343738"/>
                  <a:pt x="3319296" y="2314378"/>
                  <a:pt x="3363310" y="2331983"/>
                </a:cubicBezTo>
                <a:cubicBezTo>
                  <a:pt x="3375165" y="2336725"/>
                  <a:pt x="3385328" y="2344922"/>
                  <a:pt x="3396155" y="2351689"/>
                </a:cubicBezTo>
                <a:cubicBezTo>
                  <a:pt x="3402850" y="2355873"/>
                  <a:pt x="3408120" y="2363279"/>
                  <a:pt x="3415862" y="2364827"/>
                </a:cubicBezTo>
                <a:cubicBezTo>
                  <a:pt x="3452615" y="2372178"/>
                  <a:pt x="3490310" y="2373586"/>
                  <a:pt x="3527534" y="2377965"/>
                </a:cubicBezTo>
                <a:cubicBezTo>
                  <a:pt x="3531913" y="2384534"/>
                  <a:pt x="3535618" y="2391607"/>
                  <a:pt x="3540672" y="2397672"/>
                </a:cubicBezTo>
                <a:cubicBezTo>
                  <a:pt x="3546619" y="2404809"/>
                  <a:pt x="3554979" y="2409819"/>
                  <a:pt x="3560379" y="2417379"/>
                </a:cubicBezTo>
                <a:cubicBezTo>
                  <a:pt x="3566071" y="2425347"/>
                  <a:pt x="3569138" y="2434896"/>
                  <a:pt x="3573517" y="2443655"/>
                </a:cubicBezTo>
                <a:cubicBezTo>
                  <a:pt x="3575707" y="2454603"/>
                  <a:pt x="3576166" y="2466046"/>
                  <a:pt x="3580086" y="2476500"/>
                </a:cubicBezTo>
                <a:cubicBezTo>
                  <a:pt x="3582858" y="2483892"/>
                  <a:pt x="3587641" y="2490624"/>
                  <a:pt x="3593224" y="2496207"/>
                </a:cubicBezTo>
                <a:cubicBezTo>
                  <a:pt x="3629037" y="2532020"/>
                  <a:pt x="3643271" y="2517743"/>
                  <a:pt x="3704896" y="2522483"/>
                </a:cubicBezTo>
                <a:cubicBezTo>
                  <a:pt x="3800491" y="2554346"/>
                  <a:pt x="3708870" y="2514845"/>
                  <a:pt x="3757448" y="2555327"/>
                </a:cubicBezTo>
                <a:cubicBezTo>
                  <a:pt x="3764971" y="2561596"/>
                  <a:pt x="3775576" y="2563033"/>
                  <a:pt x="3783724" y="2568465"/>
                </a:cubicBezTo>
                <a:cubicBezTo>
                  <a:pt x="3795390" y="2576242"/>
                  <a:pt x="3805352" y="2586329"/>
                  <a:pt x="3816569" y="2594741"/>
                </a:cubicBezTo>
                <a:cubicBezTo>
                  <a:pt x="3853151" y="2622178"/>
                  <a:pt x="3819932" y="2591535"/>
                  <a:pt x="3855983" y="2627586"/>
                </a:cubicBezTo>
                <a:cubicBezTo>
                  <a:pt x="3858173" y="2638534"/>
                  <a:pt x="3856062" y="2651346"/>
                  <a:pt x="3862552" y="2660431"/>
                </a:cubicBezTo>
                <a:cubicBezTo>
                  <a:pt x="3868244" y="2668399"/>
                  <a:pt x="3888828" y="2673569"/>
                  <a:pt x="3888828" y="2673569"/>
                </a:cubicBezTo>
              </a:path>
            </a:pathLst>
          </a:cu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41" name="Freeform 40">
            <a:extLst>
              <a:ext uri="{FF2B5EF4-FFF2-40B4-BE49-F238E27FC236}">
                <a16:creationId xmlns:a16="http://schemas.microsoft.com/office/drawing/2014/main" id="{00000000-0008-0000-0500-000029000000}"/>
              </a:ext>
            </a:extLst>
          </xdr:cNvPr>
          <xdr:cNvSpPr/>
        </xdr:nvSpPr>
        <xdr:spPr>
          <a:xfrm>
            <a:off x="4519448" y="4039914"/>
            <a:ext cx="3271345" cy="3206510"/>
          </a:xfrm>
          <a:custGeom>
            <a:avLst/>
            <a:gdLst>
              <a:gd name="connsiteX0" fmla="*/ 0 w 3271345"/>
              <a:gd name="connsiteY0" fmla="*/ 663465 h 3206510"/>
              <a:gd name="connsiteX1" fmla="*/ 32845 w 3271345"/>
              <a:gd name="connsiteY1" fmla="*/ 696310 h 3206510"/>
              <a:gd name="connsiteX2" fmla="*/ 52552 w 3271345"/>
              <a:gd name="connsiteY2" fmla="*/ 702879 h 3206510"/>
              <a:gd name="connsiteX3" fmla="*/ 59121 w 3271345"/>
              <a:gd name="connsiteY3" fmla="*/ 722586 h 3206510"/>
              <a:gd name="connsiteX4" fmla="*/ 72259 w 3271345"/>
              <a:gd name="connsiteY4" fmla="*/ 788276 h 3206510"/>
              <a:gd name="connsiteX5" fmla="*/ 85397 w 3271345"/>
              <a:gd name="connsiteY5" fmla="*/ 807983 h 3206510"/>
              <a:gd name="connsiteX6" fmla="*/ 98535 w 3271345"/>
              <a:gd name="connsiteY6" fmla="*/ 840827 h 3206510"/>
              <a:gd name="connsiteX7" fmla="*/ 170793 w 3271345"/>
              <a:gd name="connsiteY7" fmla="*/ 1123293 h 3206510"/>
              <a:gd name="connsiteX8" fmla="*/ 190500 w 3271345"/>
              <a:gd name="connsiteY8" fmla="*/ 1136431 h 3206510"/>
              <a:gd name="connsiteX9" fmla="*/ 203638 w 3271345"/>
              <a:gd name="connsiteY9" fmla="*/ 1162707 h 3206510"/>
              <a:gd name="connsiteX10" fmla="*/ 216776 w 3271345"/>
              <a:gd name="connsiteY10" fmla="*/ 1182414 h 3206510"/>
              <a:gd name="connsiteX11" fmla="*/ 229914 w 3271345"/>
              <a:gd name="connsiteY11" fmla="*/ 1228396 h 3206510"/>
              <a:gd name="connsiteX12" fmla="*/ 243052 w 3271345"/>
              <a:gd name="connsiteY12" fmla="*/ 1254672 h 3206510"/>
              <a:gd name="connsiteX13" fmla="*/ 262759 w 3271345"/>
              <a:gd name="connsiteY13" fmla="*/ 1300655 h 3206510"/>
              <a:gd name="connsiteX14" fmla="*/ 269328 w 3271345"/>
              <a:gd name="connsiteY14" fmla="*/ 1326931 h 3206510"/>
              <a:gd name="connsiteX15" fmla="*/ 275897 w 3271345"/>
              <a:gd name="connsiteY15" fmla="*/ 1346638 h 3206510"/>
              <a:gd name="connsiteX16" fmla="*/ 302173 w 3271345"/>
              <a:gd name="connsiteY16" fmla="*/ 1353207 h 3206510"/>
              <a:gd name="connsiteX17" fmla="*/ 321880 w 3271345"/>
              <a:gd name="connsiteY17" fmla="*/ 1366345 h 3206510"/>
              <a:gd name="connsiteX18" fmla="*/ 348155 w 3271345"/>
              <a:gd name="connsiteY18" fmla="*/ 1432034 h 3206510"/>
              <a:gd name="connsiteX19" fmla="*/ 374431 w 3271345"/>
              <a:gd name="connsiteY19" fmla="*/ 1471448 h 3206510"/>
              <a:gd name="connsiteX20" fmla="*/ 387569 w 3271345"/>
              <a:gd name="connsiteY20" fmla="*/ 1491155 h 3206510"/>
              <a:gd name="connsiteX21" fmla="*/ 407276 w 3271345"/>
              <a:gd name="connsiteY21" fmla="*/ 1510862 h 3206510"/>
              <a:gd name="connsiteX22" fmla="*/ 413845 w 3271345"/>
              <a:gd name="connsiteY22" fmla="*/ 1537138 h 3206510"/>
              <a:gd name="connsiteX23" fmla="*/ 446690 w 3271345"/>
              <a:gd name="connsiteY23" fmla="*/ 1596258 h 3206510"/>
              <a:gd name="connsiteX24" fmla="*/ 472966 w 3271345"/>
              <a:gd name="connsiteY24" fmla="*/ 1635672 h 3206510"/>
              <a:gd name="connsiteX25" fmla="*/ 486104 w 3271345"/>
              <a:gd name="connsiteY25" fmla="*/ 1675086 h 3206510"/>
              <a:gd name="connsiteX26" fmla="*/ 512380 w 3271345"/>
              <a:gd name="connsiteY26" fmla="*/ 1721069 h 3206510"/>
              <a:gd name="connsiteX27" fmla="*/ 525518 w 3271345"/>
              <a:gd name="connsiteY27" fmla="*/ 1793327 h 3206510"/>
              <a:gd name="connsiteX28" fmla="*/ 538655 w 3271345"/>
              <a:gd name="connsiteY28" fmla="*/ 1905000 h 3206510"/>
              <a:gd name="connsiteX29" fmla="*/ 564931 w 3271345"/>
              <a:gd name="connsiteY29" fmla="*/ 1957552 h 3206510"/>
              <a:gd name="connsiteX30" fmla="*/ 578069 w 3271345"/>
              <a:gd name="connsiteY30" fmla="*/ 2029810 h 3206510"/>
              <a:gd name="connsiteX31" fmla="*/ 643759 w 3271345"/>
              <a:gd name="connsiteY31" fmla="*/ 2095500 h 3206510"/>
              <a:gd name="connsiteX32" fmla="*/ 716018 w 3271345"/>
              <a:gd name="connsiteY32" fmla="*/ 2102069 h 3206510"/>
              <a:gd name="connsiteX33" fmla="*/ 742293 w 3271345"/>
              <a:gd name="connsiteY33" fmla="*/ 2115207 h 3206510"/>
              <a:gd name="connsiteX34" fmla="*/ 762000 w 3271345"/>
              <a:gd name="connsiteY34" fmla="*/ 2121776 h 3206510"/>
              <a:gd name="connsiteX35" fmla="*/ 807983 w 3271345"/>
              <a:gd name="connsiteY35" fmla="*/ 2161189 h 3206510"/>
              <a:gd name="connsiteX36" fmla="*/ 814552 w 3271345"/>
              <a:gd name="connsiteY36" fmla="*/ 2180896 h 3206510"/>
              <a:gd name="connsiteX37" fmla="*/ 827690 w 3271345"/>
              <a:gd name="connsiteY37" fmla="*/ 2240017 h 3206510"/>
              <a:gd name="connsiteX38" fmla="*/ 847397 w 3271345"/>
              <a:gd name="connsiteY38" fmla="*/ 2272862 h 3206510"/>
              <a:gd name="connsiteX39" fmla="*/ 886811 w 3271345"/>
              <a:gd name="connsiteY39" fmla="*/ 2305707 h 3206510"/>
              <a:gd name="connsiteX40" fmla="*/ 906518 w 3271345"/>
              <a:gd name="connsiteY40" fmla="*/ 2312276 h 3206510"/>
              <a:gd name="connsiteX41" fmla="*/ 945931 w 3271345"/>
              <a:gd name="connsiteY41" fmla="*/ 2364827 h 3206510"/>
              <a:gd name="connsiteX42" fmla="*/ 978776 w 3271345"/>
              <a:gd name="connsiteY42" fmla="*/ 2410810 h 3206510"/>
              <a:gd name="connsiteX43" fmla="*/ 1044466 w 3271345"/>
              <a:gd name="connsiteY43" fmla="*/ 2476500 h 3206510"/>
              <a:gd name="connsiteX44" fmla="*/ 1103586 w 3271345"/>
              <a:gd name="connsiteY44" fmla="*/ 2542189 h 3206510"/>
              <a:gd name="connsiteX45" fmla="*/ 1136431 w 3271345"/>
              <a:gd name="connsiteY45" fmla="*/ 2568465 h 3206510"/>
              <a:gd name="connsiteX46" fmla="*/ 1182414 w 3271345"/>
              <a:gd name="connsiteY46" fmla="*/ 2621017 h 3206510"/>
              <a:gd name="connsiteX47" fmla="*/ 1188983 w 3271345"/>
              <a:gd name="connsiteY47" fmla="*/ 2673569 h 3206510"/>
              <a:gd name="connsiteX48" fmla="*/ 1215259 w 3271345"/>
              <a:gd name="connsiteY48" fmla="*/ 2739258 h 3206510"/>
              <a:gd name="connsiteX49" fmla="*/ 1221828 w 3271345"/>
              <a:gd name="connsiteY49" fmla="*/ 2772103 h 3206510"/>
              <a:gd name="connsiteX50" fmla="*/ 1241535 w 3271345"/>
              <a:gd name="connsiteY50" fmla="*/ 2791810 h 3206510"/>
              <a:gd name="connsiteX51" fmla="*/ 1280949 w 3271345"/>
              <a:gd name="connsiteY51" fmla="*/ 2837793 h 3206510"/>
              <a:gd name="connsiteX52" fmla="*/ 1320362 w 3271345"/>
              <a:gd name="connsiteY52" fmla="*/ 2903483 h 3206510"/>
              <a:gd name="connsiteX53" fmla="*/ 1340069 w 3271345"/>
              <a:gd name="connsiteY53" fmla="*/ 2916620 h 3206510"/>
              <a:gd name="connsiteX54" fmla="*/ 1366345 w 3271345"/>
              <a:gd name="connsiteY54" fmla="*/ 2956034 h 3206510"/>
              <a:gd name="connsiteX55" fmla="*/ 1418897 w 3271345"/>
              <a:gd name="connsiteY55" fmla="*/ 3008586 h 3206510"/>
              <a:gd name="connsiteX56" fmla="*/ 1445173 w 3271345"/>
              <a:gd name="connsiteY56" fmla="*/ 3028293 h 3206510"/>
              <a:gd name="connsiteX57" fmla="*/ 1491155 w 3271345"/>
              <a:gd name="connsiteY57" fmla="*/ 3074276 h 3206510"/>
              <a:gd name="connsiteX58" fmla="*/ 1510862 w 3271345"/>
              <a:gd name="connsiteY58" fmla="*/ 3087414 h 3206510"/>
              <a:gd name="connsiteX59" fmla="*/ 1734207 w 3271345"/>
              <a:gd name="connsiteY59" fmla="*/ 3093983 h 3206510"/>
              <a:gd name="connsiteX60" fmla="*/ 1786759 w 3271345"/>
              <a:gd name="connsiteY60" fmla="*/ 3120258 h 3206510"/>
              <a:gd name="connsiteX61" fmla="*/ 1826173 w 3271345"/>
              <a:gd name="connsiteY61" fmla="*/ 3146534 h 3206510"/>
              <a:gd name="connsiteX62" fmla="*/ 1931276 w 3271345"/>
              <a:gd name="connsiteY62" fmla="*/ 3172810 h 3206510"/>
              <a:gd name="connsiteX63" fmla="*/ 1950983 w 3271345"/>
              <a:gd name="connsiteY63" fmla="*/ 3185948 h 3206510"/>
              <a:gd name="connsiteX64" fmla="*/ 2148052 w 3271345"/>
              <a:gd name="connsiteY64" fmla="*/ 3192517 h 3206510"/>
              <a:gd name="connsiteX65" fmla="*/ 2167759 w 3271345"/>
              <a:gd name="connsiteY65" fmla="*/ 3179379 h 3206510"/>
              <a:gd name="connsiteX66" fmla="*/ 2180897 w 3271345"/>
              <a:gd name="connsiteY66" fmla="*/ 3146534 h 3206510"/>
              <a:gd name="connsiteX67" fmla="*/ 2200604 w 3271345"/>
              <a:gd name="connsiteY67" fmla="*/ 3054569 h 3206510"/>
              <a:gd name="connsiteX68" fmla="*/ 2213742 w 3271345"/>
              <a:gd name="connsiteY68" fmla="*/ 3034862 h 3206510"/>
              <a:gd name="connsiteX69" fmla="*/ 2226880 w 3271345"/>
              <a:gd name="connsiteY69" fmla="*/ 2995448 h 3206510"/>
              <a:gd name="connsiteX70" fmla="*/ 2233449 w 3271345"/>
              <a:gd name="connsiteY70" fmla="*/ 2969172 h 3206510"/>
              <a:gd name="connsiteX71" fmla="*/ 2266293 w 3271345"/>
              <a:gd name="connsiteY71" fmla="*/ 2916620 h 3206510"/>
              <a:gd name="connsiteX72" fmla="*/ 2272862 w 3271345"/>
              <a:gd name="connsiteY72" fmla="*/ 2896914 h 3206510"/>
              <a:gd name="connsiteX73" fmla="*/ 2292569 w 3271345"/>
              <a:gd name="connsiteY73" fmla="*/ 2883776 h 3206510"/>
              <a:gd name="connsiteX74" fmla="*/ 2358259 w 3271345"/>
              <a:gd name="connsiteY74" fmla="*/ 2811517 h 3206510"/>
              <a:gd name="connsiteX75" fmla="*/ 2384535 w 3271345"/>
              <a:gd name="connsiteY75" fmla="*/ 2765534 h 3206510"/>
              <a:gd name="connsiteX76" fmla="*/ 2397673 w 3271345"/>
              <a:gd name="connsiteY76" fmla="*/ 2745827 h 3206510"/>
              <a:gd name="connsiteX77" fmla="*/ 2410811 w 3271345"/>
              <a:gd name="connsiteY77" fmla="*/ 2719552 h 3206510"/>
              <a:gd name="connsiteX78" fmla="*/ 2417380 w 3271345"/>
              <a:gd name="connsiteY78" fmla="*/ 2699845 h 3206510"/>
              <a:gd name="connsiteX79" fmla="*/ 2443655 w 3271345"/>
              <a:gd name="connsiteY79" fmla="*/ 2686707 h 3206510"/>
              <a:gd name="connsiteX80" fmla="*/ 2456793 w 3271345"/>
              <a:gd name="connsiteY80" fmla="*/ 2660431 h 3206510"/>
              <a:gd name="connsiteX81" fmla="*/ 2469931 w 3271345"/>
              <a:gd name="connsiteY81" fmla="*/ 2542189 h 3206510"/>
              <a:gd name="connsiteX82" fmla="*/ 2542190 w 3271345"/>
              <a:gd name="connsiteY82" fmla="*/ 2529052 h 3206510"/>
              <a:gd name="connsiteX83" fmla="*/ 2575035 w 3271345"/>
              <a:gd name="connsiteY83" fmla="*/ 2522483 h 3206510"/>
              <a:gd name="connsiteX84" fmla="*/ 2601311 w 3271345"/>
              <a:gd name="connsiteY84" fmla="*/ 2476500 h 3206510"/>
              <a:gd name="connsiteX85" fmla="*/ 2634155 w 3271345"/>
              <a:gd name="connsiteY85" fmla="*/ 2423948 h 3206510"/>
              <a:gd name="connsiteX86" fmla="*/ 2673569 w 3271345"/>
              <a:gd name="connsiteY86" fmla="*/ 2384534 h 3206510"/>
              <a:gd name="connsiteX87" fmla="*/ 2680138 w 3271345"/>
              <a:gd name="connsiteY87" fmla="*/ 2364827 h 3206510"/>
              <a:gd name="connsiteX88" fmla="*/ 2693276 w 3271345"/>
              <a:gd name="connsiteY88" fmla="*/ 2345120 h 3206510"/>
              <a:gd name="connsiteX89" fmla="*/ 2699845 w 3271345"/>
              <a:gd name="connsiteY89" fmla="*/ 2240017 h 3206510"/>
              <a:gd name="connsiteX90" fmla="*/ 2765535 w 3271345"/>
              <a:gd name="connsiteY90" fmla="*/ 2233448 h 3206510"/>
              <a:gd name="connsiteX91" fmla="*/ 2811518 w 3271345"/>
              <a:gd name="connsiteY91" fmla="*/ 2207172 h 3206510"/>
              <a:gd name="connsiteX92" fmla="*/ 2850931 w 3271345"/>
              <a:gd name="connsiteY92" fmla="*/ 2167758 h 3206510"/>
              <a:gd name="connsiteX93" fmla="*/ 2864069 w 3271345"/>
              <a:gd name="connsiteY93" fmla="*/ 2121776 h 3206510"/>
              <a:gd name="connsiteX94" fmla="*/ 2870638 w 3271345"/>
              <a:gd name="connsiteY94" fmla="*/ 2062655 h 3206510"/>
              <a:gd name="connsiteX95" fmla="*/ 2936328 w 3271345"/>
              <a:gd name="connsiteY95" fmla="*/ 2010103 h 3206510"/>
              <a:gd name="connsiteX96" fmla="*/ 2969173 w 3271345"/>
              <a:gd name="connsiteY96" fmla="*/ 1983827 h 3206510"/>
              <a:gd name="connsiteX97" fmla="*/ 2988880 w 3271345"/>
              <a:gd name="connsiteY97" fmla="*/ 1977258 h 3206510"/>
              <a:gd name="connsiteX98" fmla="*/ 3041431 w 3271345"/>
              <a:gd name="connsiteY98" fmla="*/ 1964120 h 3206510"/>
              <a:gd name="connsiteX99" fmla="*/ 3120259 w 3271345"/>
              <a:gd name="connsiteY99" fmla="*/ 1937845 h 3206510"/>
              <a:gd name="connsiteX100" fmla="*/ 3159673 w 3271345"/>
              <a:gd name="connsiteY100" fmla="*/ 1911569 h 3206510"/>
              <a:gd name="connsiteX101" fmla="*/ 3231931 w 3271345"/>
              <a:gd name="connsiteY101" fmla="*/ 1891862 h 3206510"/>
              <a:gd name="connsiteX102" fmla="*/ 3245069 w 3271345"/>
              <a:gd name="connsiteY102" fmla="*/ 1872155 h 3206510"/>
              <a:gd name="connsiteX103" fmla="*/ 3264776 w 3271345"/>
              <a:gd name="connsiteY103" fmla="*/ 1859017 h 3206510"/>
              <a:gd name="connsiteX104" fmla="*/ 3271345 w 3271345"/>
              <a:gd name="connsiteY104" fmla="*/ 1839310 h 3206510"/>
              <a:gd name="connsiteX105" fmla="*/ 3264776 w 3271345"/>
              <a:gd name="connsiteY105" fmla="*/ 1425465 h 3206510"/>
              <a:gd name="connsiteX106" fmla="*/ 3245069 w 3271345"/>
              <a:gd name="connsiteY106" fmla="*/ 1392620 h 3206510"/>
              <a:gd name="connsiteX107" fmla="*/ 3238500 w 3271345"/>
              <a:gd name="connsiteY107" fmla="*/ 1372914 h 3206510"/>
              <a:gd name="connsiteX108" fmla="*/ 3251638 w 3271345"/>
              <a:gd name="connsiteY108" fmla="*/ 1156138 h 3206510"/>
              <a:gd name="connsiteX109" fmla="*/ 3258207 w 3271345"/>
              <a:gd name="connsiteY109" fmla="*/ 1136431 h 3206510"/>
              <a:gd name="connsiteX110" fmla="*/ 3264776 w 3271345"/>
              <a:gd name="connsiteY110" fmla="*/ 1110155 h 3206510"/>
              <a:gd name="connsiteX111" fmla="*/ 3238500 w 3271345"/>
              <a:gd name="connsiteY111" fmla="*/ 1044465 h 3206510"/>
              <a:gd name="connsiteX112" fmla="*/ 3225362 w 3271345"/>
              <a:gd name="connsiteY112" fmla="*/ 998483 h 3206510"/>
              <a:gd name="connsiteX113" fmla="*/ 3192518 w 3271345"/>
              <a:gd name="connsiteY113" fmla="*/ 972207 h 3206510"/>
              <a:gd name="connsiteX114" fmla="*/ 3159673 w 3271345"/>
              <a:gd name="connsiteY114" fmla="*/ 919655 h 3206510"/>
              <a:gd name="connsiteX115" fmla="*/ 3153104 w 3271345"/>
              <a:gd name="connsiteY115" fmla="*/ 899948 h 3206510"/>
              <a:gd name="connsiteX116" fmla="*/ 3146535 w 3271345"/>
              <a:gd name="connsiteY116" fmla="*/ 873672 h 3206510"/>
              <a:gd name="connsiteX117" fmla="*/ 3139966 w 3271345"/>
              <a:gd name="connsiteY117" fmla="*/ 821120 h 3206510"/>
              <a:gd name="connsiteX118" fmla="*/ 3120259 w 3271345"/>
              <a:gd name="connsiteY118" fmla="*/ 801414 h 3206510"/>
              <a:gd name="connsiteX119" fmla="*/ 3113690 w 3271345"/>
              <a:gd name="connsiteY119" fmla="*/ 781707 h 3206510"/>
              <a:gd name="connsiteX120" fmla="*/ 3100552 w 3271345"/>
              <a:gd name="connsiteY120" fmla="*/ 702879 h 3206510"/>
              <a:gd name="connsiteX121" fmla="*/ 3074276 w 3271345"/>
              <a:gd name="connsiteY121" fmla="*/ 650327 h 3206510"/>
              <a:gd name="connsiteX122" fmla="*/ 3067707 w 3271345"/>
              <a:gd name="connsiteY122" fmla="*/ 624052 h 3206510"/>
              <a:gd name="connsiteX123" fmla="*/ 3061138 w 3271345"/>
              <a:gd name="connsiteY123" fmla="*/ 604345 h 3206510"/>
              <a:gd name="connsiteX124" fmla="*/ 3054569 w 3271345"/>
              <a:gd name="connsiteY124" fmla="*/ 564931 h 3206510"/>
              <a:gd name="connsiteX125" fmla="*/ 3028293 w 3271345"/>
              <a:gd name="connsiteY125" fmla="*/ 479534 h 3206510"/>
              <a:gd name="connsiteX126" fmla="*/ 3002018 w 3271345"/>
              <a:gd name="connsiteY126" fmla="*/ 426983 h 3206510"/>
              <a:gd name="connsiteX127" fmla="*/ 2982311 w 3271345"/>
              <a:gd name="connsiteY127" fmla="*/ 374431 h 3206510"/>
              <a:gd name="connsiteX128" fmla="*/ 2956035 w 3271345"/>
              <a:gd name="connsiteY128" fmla="*/ 321879 h 3206510"/>
              <a:gd name="connsiteX129" fmla="*/ 2949466 w 3271345"/>
              <a:gd name="connsiteY129" fmla="*/ 302172 h 3206510"/>
              <a:gd name="connsiteX130" fmla="*/ 2942897 w 3271345"/>
              <a:gd name="connsiteY130" fmla="*/ 216776 h 3206510"/>
              <a:gd name="connsiteX131" fmla="*/ 2903483 w 3271345"/>
              <a:gd name="connsiteY131" fmla="*/ 177362 h 3206510"/>
              <a:gd name="connsiteX132" fmla="*/ 2883776 w 3271345"/>
              <a:gd name="connsiteY132" fmla="*/ 157655 h 3206510"/>
              <a:gd name="connsiteX133" fmla="*/ 2877207 w 3271345"/>
              <a:gd name="connsiteY133" fmla="*/ 137948 h 3206510"/>
              <a:gd name="connsiteX134" fmla="*/ 2864069 w 3271345"/>
              <a:gd name="connsiteY134" fmla="*/ 118241 h 3206510"/>
              <a:gd name="connsiteX135" fmla="*/ 2844362 w 3271345"/>
              <a:gd name="connsiteY135" fmla="*/ 72258 h 3206510"/>
              <a:gd name="connsiteX136" fmla="*/ 2798380 w 3271345"/>
              <a:gd name="connsiteY136" fmla="*/ 26276 h 3206510"/>
              <a:gd name="connsiteX137" fmla="*/ 2791811 w 3271345"/>
              <a:gd name="connsiteY137" fmla="*/ 0 h 320651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  <a:cxn ang="0">
                <a:pos x="connsiteX48" y="connsiteY48"/>
              </a:cxn>
              <a:cxn ang="0">
                <a:pos x="connsiteX49" y="connsiteY49"/>
              </a:cxn>
              <a:cxn ang="0">
                <a:pos x="connsiteX50" y="connsiteY50"/>
              </a:cxn>
              <a:cxn ang="0">
                <a:pos x="connsiteX51" y="connsiteY51"/>
              </a:cxn>
              <a:cxn ang="0">
                <a:pos x="connsiteX52" y="connsiteY52"/>
              </a:cxn>
              <a:cxn ang="0">
                <a:pos x="connsiteX53" y="connsiteY53"/>
              </a:cxn>
              <a:cxn ang="0">
                <a:pos x="connsiteX54" y="connsiteY54"/>
              </a:cxn>
              <a:cxn ang="0">
                <a:pos x="connsiteX55" y="connsiteY55"/>
              </a:cxn>
              <a:cxn ang="0">
                <a:pos x="connsiteX56" y="connsiteY56"/>
              </a:cxn>
              <a:cxn ang="0">
                <a:pos x="connsiteX57" y="connsiteY57"/>
              </a:cxn>
              <a:cxn ang="0">
                <a:pos x="connsiteX58" y="connsiteY58"/>
              </a:cxn>
              <a:cxn ang="0">
                <a:pos x="connsiteX59" y="connsiteY59"/>
              </a:cxn>
              <a:cxn ang="0">
                <a:pos x="connsiteX60" y="connsiteY60"/>
              </a:cxn>
              <a:cxn ang="0">
                <a:pos x="connsiteX61" y="connsiteY61"/>
              </a:cxn>
              <a:cxn ang="0">
                <a:pos x="connsiteX62" y="connsiteY62"/>
              </a:cxn>
              <a:cxn ang="0">
                <a:pos x="connsiteX63" y="connsiteY63"/>
              </a:cxn>
              <a:cxn ang="0">
                <a:pos x="connsiteX64" y="connsiteY64"/>
              </a:cxn>
              <a:cxn ang="0">
                <a:pos x="connsiteX65" y="connsiteY65"/>
              </a:cxn>
              <a:cxn ang="0">
                <a:pos x="connsiteX66" y="connsiteY66"/>
              </a:cxn>
              <a:cxn ang="0">
                <a:pos x="connsiteX67" y="connsiteY67"/>
              </a:cxn>
              <a:cxn ang="0">
                <a:pos x="connsiteX68" y="connsiteY68"/>
              </a:cxn>
              <a:cxn ang="0">
                <a:pos x="connsiteX69" y="connsiteY69"/>
              </a:cxn>
              <a:cxn ang="0">
                <a:pos x="connsiteX70" y="connsiteY70"/>
              </a:cxn>
              <a:cxn ang="0">
                <a:pos x="connsiteX71" y="connsiteY71"/>
              </a:cxn>
              <a:cxn ang="0">
                <a:pos x="connsiteX72" y="connsiteY72"/>
              </a:cxn>
              <a:cxn ang="0">
                <a:pos x="connsiteX73" y="connsiteY73"/>
              </a:cxn>
              <a:cxn ang="0">
                <a:pos x="connsiteX74" y="connsiteY74"/>
              </a:cxn>
              <a:cxn ang="0">
                <a:pos x="connsiteX75" y="connsiteY75"/>
              </a:cxn>
              <a:cxn ang="0">
                <a:pos x="connsiteX76" y="connsiteY76"/>
              </a:cxn>
              <a:cxn ang="0">
                <a:pos x="connsiteX77" y="connsiteY77"/>
              </a:cxn>
              <a:cxn ang="0">
                <a:pos x="connsiteX78" y="connsiteY78"/>
              </a:cxn>
              <a:cxn ang="0">
                <a:pos x="connsiteX79" y="connsiteY79"/>
              </a:cxn>
              <a:cxn ang="0">
                <a:pos x="connsiteX80" y="connsiteY80"/>
              </a:cxn>
              <a:cxn ang="0">
                <a:pos x="connsiteX81" y="connsiteY81"/>
              </a:cxn>
              <a:cxn ang="0">
                <a:pos x="connsiteX82" y="connsiteY82"/>
              </a:cxn>
              <a:cxn ang="0">
                <a:pos x="connsiteX83" y="connsiteY83"/>
              </a:cxn>
              <a:cxn ang="0">
                <a:pos x="connsiteX84" y="connsiteY84"/>
              </a:cxn>
              <a:cxn ang="0">
                <a:pos x="connsiteX85" y="connsiteY85"/>
              </a:cxn>
              <a:cxn ang="0">
                <a:pos x="connsiteX86" y="connsiteY86"/>
              </a:cxn>
              <a:cxn ang="0">
                <a:pos x="connsiteX87" y="connsiteY87"/>
              </a:cxn>
              <a:cxn ang="0">
                <a:pos x="connsiteX88" y="connsiteY88"/>
              </a:cxn>
              <a:cxn ang="0">
                <a:pos x="connsiteX89" y="connsiteY89"/>
              </a:cxn>
              <a:cxn ang="0">
                <a:pos x="connsiteX90" y="connsiteY90"/>
              </a:cxn>
              <a:cxn ang="0">
                <a:pos x="connsiteX91" y="connsiteY91"/>
              </a:cxn>
              <a:cxn ang="0">
                <a:pos x="connsiteX92" y="connsiteY92"/>
              </a:cxn>
              <a:cxn ang="0">
                <a:pos x="connsiteX93" y="connsiteY93"/>
              </a:cxn>
              <a:cxn ang="0">
                <a:pos x="connsiteX94" y="connsiteY94"/>
              </a:cxn>
              <a:cxn ang="0">
                <a:pos x="connsiteX95" y="connsiteY95"/>
              </a:cxn>
              <a:cxn ang="0">
                <a:pos x="connsiteX96" y="connsiteY96"/>
              </a:cxn>
              <a:cxn ang="0">
                <a:pos x="connsiteX97" y="connsiteY97"/>
              </a:cxn>
              <a:cxn ang="0">
                <a:pos x="connsiteX98" y="connsiteY98"/>
              </a:cxn>
              <a:cxn ang="0">
                <a:pos x="connsiteX99" y="connsiteY99"/>
              </a:cxn>
              <a:cxn ang="0">
                <a:pos x="connsiteX100" y="connsiteY100"/>
              </a:cxn>
              <a:cxn ang="0">
                <a:pos x="connsiteX101" y="connsiteY101"/>
              </a:cxn>
              <a:cxn ang="0">
                <a:pos x="connsiteX102" y="connsiteY102"/>
              </a:cxn>
              <a:cxn ang="0">
                <a:pos x="connsiteX103" y="connsiteY103"/>
              </a:cxn>
              <a:cxn ang="0">
                <a:pos x="connsiteX104" y="connsiteY104"/>
              </a:cxn>
              <a:cxn ang="0">
                <a:pos x="connsiteX105" y="connsiteY105"/>
              </a:cxn>
              <a:cxn ang="0">
                <a:pos x="connsiteX106" y="connsiteY106"/>
              </a:cxn>
              <a:cxn ang="0">
                <a:pos x="connsiteX107" y="connsiteY107"/>
              </a:cxn>
              <a:cxn ang="0">
                <a:pos x="connsiteX108" y="connsiteY108"/>
              </a:cxn>
              <a:cxn ang="0">
                <a:pos x="connsiteX109" y="connsiteY109"/>
              </a:cxn>
              <a:cxn ang="0">
                <a:pos x="connsiteX110" y="connsiteY110"/>
              </a:cxn>
              <a:cxn ang="0">
                <a:pos x="connsiteX111" y="connsiteY111"/>
              </a:cxn>
              <a:cxn ang="0">
                <a:pos x="connsiteX112" y="connsiteY112"/>
              </a:cxn>
              <a:cxn ang="0">
                <a:pos x="connsiteX113" y="connsiteY113"/>
              </a:cxn>
              <a:cxn ang="0">
                <a:pos x="connsiteX114" y="connsiteY114"/>
              </a:cxn>
              <a:cxn ang="0">
                <a:pos x="connsiteX115" y="connsiteY115"/>
              </a:cxn>
              <a:cxn ang="0">
                <a:pos x="connsiteX116" y="connsiteY116"/>
              </a:cxn>
              <a:cxn ang="0">
                <a:pos x="connsiteX117" y="connsiteY117"/>
              </a:cxn>
              <a:cxn ang="0">
                <a:pos x="connsiteX118" y="connsiteY118"/>
              </a:cxn>
              <a:cxn ang="0">
                <a:pos x="connsiteX119" y="connsiteY119"/>
              </a:cxn>
              <a:cxn ang="0">
                <a:pos x="connsiteX120" y="connsiteY120"/>
              </a:cxn>
              <a:cxn ang="0">
                <a:pos x="connsiteX121" y="connsiteY121"/>
              </a:cxn>
              <a:cxn ang="0">
                <a:pos x="connsiteX122" y="connsiteY122"/>
              </a:cxn>
              <a:cxn ang="0">
                <a:pos x="connsiteX123" y="connsiteY123"/>
              </a:cxn>
              <a:cxn ang="0">
                <a:pos x="connsiteX124" y="connsiteY124"/>
              </a:cxn>
              <a:cxn ang="0">
                <a:pos x="connsiteX125" y="connsiteY125"/>
              </a:cxn>
              <a:cxn ang="0">
                <a:pos x="connsiteX126" y="connsiteY126"/>
              </a:cxn>
              <a:cxn ang="0">
                <a:pos x="connsiteX127" y="connsiteY127"/>
              </a:cxn>
              <a:cxn ang="0">
                <a:pos x="connsiteX128" y="connsiteY128"/>
              </a:cxn>
              <a:cxn ang="0">
                <a:pos x="connsiteX129" y="connsiteY129"/>
              </a:cxn>
              <a:cxn ang="0">
                <a:pos x="connsiteX130" y="connsiteY130"/>
              </a:cxn>
              <a:cxn ang="0">
                <a:pos x="connsiteX131" y="connsiteY131"/>
              </a:cxn>
              <a:cxn ang="0">
                <a:pos x="connsiteX132" y="connsiteY132"/>
              </a:cxn>
              <a:cxn ang="0">
                <a:pos x="connsiteX133" y="connsiteY133"/>
              </a:cxn>
              <a:cxn ang="0">
                <a:pos x="connsiteX134" y="connsiteY134"/>
              </a:cxn>
              <a:cxn ang="0">
                <a:pos x="connsiteX135" y="connsiteY135"/>
              </a:cxn>
              <a:cxn ang="0">
                <a:pos x="connsiteX136" y="connsiteY136"/>
              </a:cxn>
              <a:cxn ang="0">
                <a:pos x="connsiteX137" y="connsiteY137"/>
              </a:cxn>
            </a:cxnLst>
            <a:rect l="l" t="t" r="r" b="b"/>
            <a:pathLst>
              <a:path w="3271345" h="3206510">
                <a:moveTo>
                  <a:pt x="0" y="663465"/>
                </a:moveTo>
                <a:cubicBezTo>
                  <a:pt x="10948" y="674413"/>
                  <a:pt x="20458" y="687020"/>
                  <a:pt x="32845" y="696310"/>
                </a:cubicBezTo>
                <a:cubicBezTo>
                  <a:pt x="38384" y="700465"/>
                  <a:pt x="47656" y="697983"/>
                  <a:pt x="52552" y="702879"/>
                </a:cubicBezTo>
                <a:cubicBezTo>
                  <a:pt x="57448" y="707775"/>
                  <a:pt x="57564" y="715839"/>
                  <a:pt x="59121" y="722586"/>
                </a:cubicBezTo>
                <a:cubicBezTo>
                  <a:pt x="64142" y="744344"/>
                  <a:pt x="65692" y="766933"/>
                  <a:pt x="72259" y="788276"/>
                </a:cubicBezTo>
                <a:cubicBezTo>
                  <a:pt x="74581" y="795822"/>
                  <a:pt x="81866" y="800922"/>
                  <a:pt x="85397" y="807983"/>
                </a:cubicBezTo>
                <a:cubicBezTo>
                  <a:pt x="90670" y="818530"/>
                  <a:pt x="94156" y="829879"/>
                  <a:pt x="98535" y="840827"/>
                </a:cubicBezTo>
                <a:cubicBezTo>
                  <a:pt x="101926" y="867109"/>
                  <a:pt x="102227" y="1077582"/>
                  <a:pt x="170793" y="1123293"/>
                </a:cubicBezTo>
                <a:lnTo>
                  <a:pt x="190500" y="1136431"/>
                </a:lnTo>
                <a:cubicBezTo>
                  <a:pt x="194879" y="1145190"/>
                  <a:pt x="198780" y="1154205"/>
                  <a:pt x="203638" y="1162707"/>
                </a:cubicBezTo>
                <a:cubicBezTo>
                  <a:pt x="207555" y="1169562"/>
                  <a:pt x="213245" y="1175353"/>
                  <a:pt x="216776" y="1182414"/>
                </a:cubicBezTo>
                <a:cubicBezTo>
                  <a:pt x="224717" y="1198296"/>
                  <a:pt x="223599" y="1211556"/>
                  <a:pt x="229914" y="1228396"/>
                </a:cubicBezTo>
                <a:cubicBezTo>
                  <a:pt x="233352" y="1237565"/>
                  <a:pt x="239614" y="1245503"/>
                  <a:pt x="243052" y="1254672"/>
                </a:cubicBezTo>
                <a:cubicBezTo>
                  <a:pt x="261232" y="1303151"/>
                  <a:pt x="236134" y="1260718"/>
                  <a:pt x="262759" y="1300655"/>
                </a:cubicBezTo>
                <a:cubicBezTo>
                  <a:pt x="264949" y="1309414"/>
                  <a:pt x="266848" y="1318250"/>
                  <a:pt x="269328" y="1326931"/>
                </a:cubicBezTo>
                <a:cubicBezTo>
                  <a:pt x="271230" y="1333589"/>
                  <a:pt x="270490" y="1342312"/>
                  <a:pt x="275897" y="1346638"/>
                </a:cubicBezTo>
                <a:cubicBezTo>
                  <a:pt x="282947" y="1352278"/>
                  <a:pt x="293414" y="1351017"/>
                  <a:pt x="302173" y="1353207"/>
                </a:cubicBezTo>
                <a:cubicBezTo>
                  <a:pt x="308742" y="1357586"/>
                  <a:pt x="317501" y="1359776"/>
                  <a:pt x="321880" y="1366345"/>
                </a:cubicBezTo>
                <a:cubicBezTo>
                  <a:pt x="396073" y="1477636"/>
                  <a:pt x="314820" y="1372031"/>
                  <a:pt x="348155" y="1432034"/>
                </a:cubicBezTo>
                <a:cubicBezTo>
                  <a:pt x="355823" y="1445837"/>
                  <a:pt x="365672" y="1458310"/>
                  <a:pt x="374431" y="1471448"/>
                </a:cubicBezTo>
                <a:cubicBezTo>
                  <a:pt x="378810" y="1478017"/>
                  <a:pt x="381986" y="1485572"/>
                  <a:pt x="387569" y="1491155"/>
                </a:cubicBezTo>
                <a:lnTo>
                  <a:pt x="407276" y="1510862"/>
                </a:lnTo>
                <a:cubicBezTo>
                  <a:pt x="409466" y="1519621"/>
                  <a:pt x="410675" y="1528685"/>
                  <a:pt x="413845" y="1537138"/>
                </a:cubicBezTo>
                <a:cubicBezTo>
                  <a:pt x="423335" y="1562446"/>
                  <a:pt x="434145" y="1571168"/>
                  <a:pt x="446690" y="1596258"/>
                </a:cubicBezTo>
                <a:cubicBezTo>
                  <a:pt x="465704" y="1634286"/>
                  <a:pt x="435607" y="1598313"/>
                  <a:pt x="472966" y="1635672"/>
                </a:cubicBezTo>
                <a:cubicBezTo>
                  <a:pt x="477345" y="1648810"/>
                  <a:pt x="478422" y="1663563"/>
                  <a:pt x="486104" y="1675086"/>
                </a:cubicBezTo>
                <a:cubicBezTo>
                  <a:pt x="504674" y="1702941"/>
                  <a:pt x="495711" y="1687732"/>
                  <a:pt x="512380" y="1721069"/>
                </a:cubicBezTo>
                <a:cubicBezTo>
                  <a:pt x="517157" y="1744953"/>
                  <a:pt x="522367" y="1769169"/>
                  <a:pt x="525518" y="1793327"/>
                </a:cubicBezTo>
                <a:cubicBezTo>
                  <a:pt x="530366" y="1830493"/>
                  <a:pt x="534006" y="1867808"/>
                  <a:pt x="538655" y="1905000"/>
                </a:cubicBezTo>
                <a:cubicBezTo>
                  <a:pt x="545218" y="1957509"/>
                  <a:pt x="530976" y="1946234"/>
                  <a:pt x="564931" y="1957552"/>
                </a:cubicBezTo>
                <a:cubicBezTo>
                  <a:pt x="569310" y="1981638"/>
                  <a:pt x="569921" y="2006725"/>
                  <a:pt x="578069" y="2029810"/>
                </a:cubicBezTo>
                <a:cubicBezTo>
                  <a:pt x="585037" y="2049553"/>
                  <a:pt x="619273" y="2093274"/>
                  <a:pt x="643759" y="2095500"/>
                </a:cubicBezTo>
                <a:lnTo>
                  <a:pt x="716018" y="2102069"/>
                </a:lnTo>
                <a:cubicBezTo>
                  <a:pt x="724776" y="2106448"/>
                  <a:pt x="733293" y="2111350"/>
                  <a:pt x="742293" y="2115207"/>
                </a:cubicBezTo>
                <a:cubicBezTo>
                  <a:pt x="748657" y="2117935"/>
                  <a:pt x="755988" y="2118341"/>
                  <a:pt x="762000" y="2121776"/>
                </a:cubicBezTo>
                <a:cubicBezTo>
                  <a:pt x="781661" y="2133011"/>
                  <a:pt x="792453" y="2145660"/>
                  <a:pt x="807983" y="2161189"/>
                </a:cubicBezTo>
                <a:cubicBezTo>
                  <a:pt x="810173" y="2167758"/>
                  <a:pt x="812873" y="2174178"/>
                  <a:pt x="814552" y="2180896"/>
                </a:cubicBezTo>
                <a:cubicBezTo>
                  <a:pt x="816184" y="2187425"/>
                  <a:pt x="823837" y="2231347"/>
                  <a:pt x="827690" y="2240017"/>
                </a:cubicBezTo>
                <a:cubicBezTo>
                  <a:pt x="832876" y="2251684"/>
                  <a:pt x="838856" y="2263372"/>
                  <a:pt x="847397" y="2272862"/>
                </a:cubicBezTo>
                <a:cubicBezTo>
                  <a:pt x="858838" y="2285574"/>
                  <a:pt x="872581" y="2296221"/>
                  <a:pt x="886811" y="2305707"/>
                </a:cubicBezTo>
                <a:cubicBezTo>
                  <a:pt x="892572" y="2309548"/>
                  <a:pt x="899949" y="2310086"/>
                  <a:pt x="906518" y="2312276"/>
                </a:cubicBezTo>
                <a:cubicBezTo>
                  <a:pt x="930443" y="2360129"/>
                  <a:pt x="906091" y="2318349"/>
                  <a:pt x="945931" y="2364827"/>
                </a:cubicBezTo>
                <a:cubicBezTo>
                  <a:pt x="986146" y="2411744"/>
                  <a:pt x="925204" y="2353117"/>
                  <a:pt x="978776" y="2410810"/>
                </a:cubicBezTo>
                <a:cubicBezTo>
                  <a:pt x="999847" y="2433502"/>
                  <a:pt x="1024642" y="2452711"/>
                  <a:pt x="1044466" y="2476500"/>
                </a:cubicBezTo>
                <a:cubicBezTo>
                  <a:pt x="1066320" y="2502725"/>
                  <a:pt x="1078921" y="2520265"/>
                  <a:pt x="1103586" y="2542189"/>
                </a:cubicBezTo>
                <a:cubicBezTo>
                  <a:pt x="1114065" y="2551504"/>
                  <a:pt x="1126009" y="2559086"/>
                  <a:pt x="1136431" y="2568465"/>
                </a:cubicBezTo>
                <a:cubicBezTo>
                  <a:pt x="1168454" y="2597286"/>
                  <a:pt x="1163953" y="2593326"/>
                  <a:pt x="1182414" y="2621017"/>
                </a:cubicBezTo>
                <a:cubicBezTo>
                  <a:pt x="1184604" y="2638534"/>
                  <a:pt x="1184434" y="2656511"/>
                  <a:pt x="1188983" y="2673569"/>
                </a:cubicBezTo>
                <a:cubicBezTo>
                  <a:pt x="1224453" y="2806581"/>
                  <a:pt x="1198004" y="2670239"/>
                  <a:pt x="1215259" y="2739258"/>
                </a:cubicBezTo>
                <a:cubicBezTo>
                  <a:pt x="1217967" y="2750090"/>
                  <a:pt x="1216835" y="2762117"/>
                  <a:pt x="1221828" y="2772103"/>
                </a:cubicBezTo>
                <a:cubicBezTo>
                  <a:pt x="1225983" y="2780412"/>
                  <a:pt x="1235320" y="2784905"/>
                  <a:pt x="1241535" y="2791810"/>
                </a:cubicBezTo>
                <a:cubicBezTo>
                  <a:pt x="1255040" y="2806815"/>
                  <a:pt x="1269458" y="2821195"/>
                  <a:pt x="1280949" y="2837793"/>
                </a:cubicBezTo>
                <a:cubicBezTo>
                  <a:pt x="1307608" y="2876301"/>
                  <a:pt x="1290309" y="2873431"/>
                  <a:pt x="1320362" y="2903483"/>
                </a:cubicBezTo>
                <a:cubicBezTo>
                  <a:pt x="1325945" y="2909065"/>
                  <a:pt x="1333500" y="2912241"/>
                  <a:pt x="1340069" y="2916620"/>
                </a:cubicBezTo>
                <a:cubicBezTo>
                  <a:pt x="1348828" y="2929758"/>
                  <a:pt x="1355180" y="2944869"/>
                  <a:pt x="1366345" y="2956034"/>
                </a:cubicBezTo>
                <a:cubicBezTo>
                  <a:pt x="1383862" y="2973551"/>
                  <a:pt x="1399078" y="2993722"/>
                  <a:pt x="1418897" y="3008586"/>
                </a:cubicBezTo>
                <a:cubicBezTo>
                  <a:pt x="1427656" y="3015155"/>
                  <a:pt x="1437072" y="3020928"/>
                  <a:pt x="1445173" y="3028293"/>
                </a:cubicBezTo>
                <a:cubicBezTo>
                  <a:pt x="1461212" y="3042874"/>
                  <a:pt x="1473119" y="3062252"/>
                  <a:pt x="1491155" y="3074276"/>
                </a:cubicBezTo>
                <a:cubicBezTo>
                  <a:pt x="1497724" y="3078655"/>
                  <a:pt x="1502993" y="3086776"/>
                  <a:pt x="1510862" y="3087414"/>
                </a:cubicBezTo>
                <a:cubicBezTo>
                  <a:pt x="1585099" y="3093433"/>
                  <a:pt x="1659759" y="3091793"/>
                  <a:pt x="1734207" y="3093983"/>
                </a:cubicBezTo>
                <a:cubicBezTo>
                  <a:pt x="1751724" y="3102741"/>
                  <a:pt x="1769755" y="3110541"/>
                  <a:pt x="1786759" y="3120258"/>
                </a:cubicBezTo>
                <a:cubicBezTo>
                  <a:pt x="1800469" y="3128092"/>
                  <a:pt x="1810939" y="3142379"/>
                  <a:pt x="1826173" y="3146534"/>
                </a:cubicBezTo>
                <a:cubicBezTo>
                  <a:pt x="1909203" y="3169179"/>
                  <a:pt x="1873950" y="3161345"/>
                  <a:pt x="1931276" y="3172810"/>
                </a:cubicBezTo>
                <a:cubicBezTo>
                  <a:pt x="1937845" y="3177189"/>
                  <a:pt x="1944128" y="3182031"/>
                  <a:pt x="1950983" y="3185948"/>
                </a:cubicBezTo>
                <a:cubicBezTo>
                  <a:pt x="2019172" y="3224913"/>
                  <a:pt x="2020101" y="3197438"/>
                  <a:pt x="2148052" y="3192517"/>
                </a:cubicBezTo>
                <a:cubicBezTo>
                  <a:pt x="2154621" y="3188138"/>
                  <a:pt x="2163170" y="3185803"/>
                  <a:pt x="2167759" y="3179379"/>
                </a:cubicBezTo>
                <a:cubicBezTo>
                  <a:pt x="2174613" y="3169784"/>
                  <a:pt x="2177168" y="3157721"/>
                  <a:pt x="2180897" y="3146534"/>
                </a:cubicBezTo>
                <a:cubicBezTo>
                  <a:pt x="2187135" y="3127821"/>
                  <a:pt x="2199910" y="3056824"/>
                  <a:pt x="2200604" y="3054569"/>
                </a:cubicBezTo>
                <a:cubicBezTo>
                  <a:pt x="2202926" y="3047023"/>
                  <a:pt x="2210536" y="3042077"/>
                  <a:pt x="2213742" y="3034862"/>
                </a:cubicBezTo>
                <a:cubicBezTo>
                  <a:pt x="2219366" y="3022207"/>
                  <a:pt x="2223521" y="3008883"/>
                  <a:pt x="2226880" y="2995448"/>
                </a:cubicBezTo>
                <a:cubicBezTo>
                  <a:pt x="2229070" y="2986689"/>
                  <a:pt x="2229782" y="2977422"/>
                  <a:pt x="2233449" y="2969172"/>
                </a:cubicBezTo>
                <a:cubicBezTo>
                  <a:pt x="2267147" y="2893350"/>
                  <a:pt x="2239933" y="2969339"/>
                  <a:pt x="2266293" y="2916620"/>
                </a:cubicBezTo>
                <a:cubicBezTo>
                  <a:pt x="2269390" y="2910427"/>
                  <a:pt x="2268537" y="2902321"/>
                  <a:pt x="2272862" y="2896914"/>
                </a:cubicBezTo>
                <a:cubicBezTo>
                  <a:pt x="2277794" y="2890749"/>
                  <a:pt x="2286701" y="2889057"/>
                  <a:pt x="2292569" y="2883776"/>
                </a:cubicBezTo>
                <a:cubicBezTo>
                  <a:pt x="2315325" y="2863296"/>
                  <a:pt x="2341188" y="2838343"/>
                  <a:pt x="2358259" y="2811517"/>
                </a:cubicBezTo>
                <a:cubicBezTo>
                  <a:pt x="2367737" y="2796623"/>
                  <a:pt x="2375452" y="2780672"/>
                  <a:pt x="2384535" y="2765534"/>
                </a:cubicBezTo>
                <a:cubicBezTo>
                  <a:pt x="2388597" y="2758764"/>
                  <a:pt x="2393756" y="2752682"/>
                  <a:pt x="2397673" y="2745827"/>
                </a:cubicBezTo>
                <a:cubicBezTo>
                  <a:pt x="2402531" y="2737325"/>
                  <a:pt x="2406954" y="2728552"/>
                  <a:pt x="2410811" y="2719552"/>
                </a:cubicBezTo>
                <a:cubicBezTo>
                  <a:pt x="2413539" y="2713188"/>
                  <a:pt x="2412484" y="2704741"/>
                  <a:pt x="2417380" y="2699845"/>
                </a:cubicBezTo>
                <a:cubicBezTo>
                  <a:pt x="2424304" y="2692921"/>
                  <a:pt x="2434897" y="2691086"/>
                  <a:pt x="2443655" y="2686707"/>
                </a:cubicBezTo>
                <a:cubicBezTo>
                  <a:pt x="2448034" y="2677948"/>
                  <a:pt x="2455041" y="2670066"/>
                  <a:pt x="2456793" y="2660431"/>
                </a:cubicBezTo>
                <a:cubicBezTo>
                  <a:pt x="2463887" y="2621414"/>
                  <a:pt x="2448319" y="2575439"/>
                  <a:pt x="2469931" y="2542189"/>
                </a:cubicBezTo>
                <a:cubicBezTo>
                  <a:pt x="2483273" y="2521663"/>
                  <a:pt x="2518128" y="2533563"/>
                  <a:pt x="2542190" y="2529052"/>
                </a:cubicBezTo>
                <a:cubicBezTo>
                  <a:pt x="2553164" y="2526994"/>
                  <a:pt x="2564087" y="2524673"/>
                  <a:pt x="2575035" y="2522483"/>
                </a:cubicBezTo>
                <a:cubicBezTo>
                  <a:pt x="2586743" y="2487358"/>
                  <a:pt x="2574798" y="2516271"/>
                  <a:pt x="2601311" y="2476500"/>
                </a:cubicBezTo>
                <a:cubicBezTo>
                  <a:pt x="2612769" y="2459312"/>
                  <a:pt x="2619548" y="2438555"/>
                  <a:pt x="2634155" y="2423948"/>
                </a:cubicBezTo>
                <a:lnTo>
                  <a:pt x="2673569" y="2384534"/>
                </a:lnTo>
                <a:cubicBezTo>
                  <a:pt x="2675759" y="2377965"/>
                  <a:pt x="2677041" y="2371020"/>
                  <a:pt x="2680138" y="2364827"/>
                </a:cubicBezTo>
                <a:cubicBezTo>
                  <a:pt x="2683669" y="2357766"/>
                  <a:pt x="2692045" y="2352918"/>
                  <a:pt x="2693276" y="2345120"/>
                </a:cubicBezTo>
                <a:cubicBezTo>
                  <a:pt x="2698751" y="2310447"/>
                  <a:pt x="2680775" y="2269488"/>
                  <a:pt x="2699845" y="2240017"/>
                </a:cubicBezTo>
                <a:cubicBezTo>
                  <a:pt x="2711800" y="2221542"/>
                  <a:pt x="2743638" y="2235638"/>
                  <a:pt x="2765535" y="2233448"/>
                </a:cubicBezTo>
                <a:cubicBezTo>
                  <a:pt x="2788082" y="2225932"/>
                  <a:pt x="2791634" y="2227056"/>
                  <a:pt x="2811518" y="2207172"/>
                </a:cubicBezTo>
                <a:cubicBezTo>
                  <a:pt x="2860405" y="2158284"/>
                  <a:pt x="2804487" y="2198721"/>
                  <a:pt x="2850931" y="2167758"/>
                </a:cubicBezTo>
                <a:cubicBezTo>
                  <a:pt x="2855837" y="2153041"/>
                  <a:pt x="2861712" y="2137096"/>
                  <a:pt x="2864069" y="2121776"/>
                </a:cubicBezTo>
                <a:cubicBezTo>
                  <a:pt x="2867084" y="2102178"/>
                  <a:pt x="2861771" y="2080390"/>
                  <a:pt x="2870638" y="2062655"/>
                </a:cubicBezTo>
                <a:cubicBezTo>
                  <a:pt x="2890990" y="2021952"/>
                  <a:pt x="2905808" y="2020276"/>
                  <a:pt x="2936328" y="2010103"/>
                </a:cubicBezTo>
                <a:cubicBezTo>
                  <a:pt x="2947276" y="2001344"/>
                  <a:pt x="2957283" y="1991258"/>
                  <a:pt x="2969173" y="1983827"/>
                </a:cubicBezTo>
                <a:cubicBezTo>
                  <a:pt x="2975045" y="1980157"/>
                  <a:pt x="2982162" y="1978937"/>
                  <a:pt x="2988880" y="1977258"/>
                </a:cubicBezTo>
                <a:cubicBezTo>
                  <a:pt x="3013559" y="1971088"/>
                  <a:pt x="3020407" y="1973130"/>
                  <a:pt x="3041431" y="1964120"/>
                </a:cubicBezTo>
                <a:cubicBezTo>
                  <a:pt x="3100826" y="1938666"/>
                  <a:pt x="3026918" y="1961180"/>
                  <a:pt x="3120259" y="1937845"/>
                </a:cubicBezTo>
                <a:cubicBezTo>
                  <a:pt x="3133397" y="1929086"/>
                  <a:pt x="3144803" y="1916880"/>
                  <a:pt x="3159673" y="1911569"/>
                </a:cubicBezTo>
                <a:cubicBezTo>
                  <a:pt x="3265348" y="1873828"/>
                  <a:pt x="3177281" y="1928295"/>
                  <a:pt x="3231931" y="1891862"/>
                </a:cubicBezTo>
                <a:cubicBezTo>
                  <a:pt x="3236310" y="1885293"/>
                  <a:pt x="3239486" y="1877738"/>
                  <a:pt x="3245069" y="1872155"/>
                </a:cubicBezTo>
                <a:cubicBezTo>
                  <a:pt x="3250652" y="1866572"/>
                  <a:pt x="3259844" y="1865182"/>
                  <a:pt x="3264776" y="1859017"/>
                </a:cubicBezTo>
                <a:cubicBezTo>
                  <a:pt x="3269102" y="1853610"/>
                  <a:pt x="3269155" y="1845879"/>
                  <a:pt x="3271345" y="1839310"/>
                </a:cubicBezTo>
                <a:cubicBezTo>
                  <a:pt x="3269155" y="1701362"/>
                  <a:pt x="3272878" y="1563193"/>
                  <a:pt x="3264776" y="1425465"/>
                </a:cubicBezTo>
                <a:cubicBezTo>
                  <a:pt x="3264026" y="1412719"/>
                  <a:pt x="3250779" y="1404040"/>
                  <a:pt x="3245069" y="1392620"/>
                </a:cubicBezTo>
                <a:cubicBezTo>
                  <a:pt x="3241972" y="1386427"/>
                  <a:pt x="3240690" y="1379483"/>
                  <a:pt x="3238500" y="1372914"/>
                </a:cubicBezTo>
                <a:cubicBezTo>
                  <a:pt x="3239912" y="1346080"/>
                  <a:pt x="3247096" y="1194742"/>
                  <a:pt x="3251638" y="1156138"/>
                </a:cubicBezTo>
                <a:cubicBezTo>
                  <a:pt x="3252447" y="1149261"/>
                  <a:pt x="3256305" y="1143089"/>
                  <a:pt x="3258207" y="1136431"/>
                </a:cubicBezTo>
                <a:cubicBezTo>
                  <a:pt x="3260687" y="1127750"/>
                  <a:pt x="3262586" y="1118914"/>
                  <a:pt x="3264776" y="1110155"/>
                </a:cubicBezTo>
                <a:cubicBezTo>
                  <a:pt x="3250581" y="996596"/>
                  <a:pt x="3275868" y="1091175"/>
                  <a:pt x="3238500" y="1044465"/>
                </a:cubicBezTo>
                <a:cubicBezTo>
                  <a:pt x="3224542" y="1027017"/>
                  <a:pt x="3239522" y="1017363"/>
                  <a:pt x="3225362" y="998483"/>
                </a:cubicBezTo>
                <a:cubicBezTo>
                  <a:pt x="3216950" y="987267"/>
                  <a:pt x="3203466" y="980966"/>
                  <a:pt x="3192518" y="972207"/>
                </a:cubicBezTo>
                <a:cubicBezTo>
                  <a:pt x="3158131" y="886240"/>
                  <a:pt x="3201741" y="982756"/>
                  <a:pt x="3159673" y="919655"/>
                </a:cubicBezTo>
                <a:cubicBezTo>
                  <a:pt x="3155832" y="913894"/>
                  <a:pt x="3155006" y="906606"/>
                  <a:pt x="3153104" y="899948"/>
                </a:cubicBezTo>
                <a:cubicBezTo>
                  <a:pt x="3150624" y="891267"/>
                  <a:pt x="3148019" y="882577"/>
                  <a:pt x="3146535" y="873672"/>
                </a:cubicBezTo>
                <a:cubicBezTo>
                  <a:pt x="3143633" y="856259"/>
                  <a:pt x="3145999" y="837711"/>
                  <a:pt x="3139966" y="821120"/>
                </a:cubicBezTo>
                <a:cubicBezTo>
                  <a:pt x="3136791" y="812390"/>
                  <a:pt x="3126828" y="807983"/>
                  <a:pt x="3120259" y="801414"/>
                </a:cubicBezTo>
                <a:cubicBezTo>
                  <a:pt x="3118069" y="794845"/>
                  <a:pt x="3115048" y="788497"/>
                  <a:pt x="3113690" y="781707"/>
                </a:cubicBezTo>
                <a:cubicBezTo>
                  <a:pt x="3102566" y="726089"/>
                  <a:pt x="3112303" y="749884"/>
                  <a:pt x="3100552" y="702879"/>
                </a:cubicBezTo>
                <a:cubicBezTo>
                  <a:pt x="3094491" y="678635"/>
                  <a:pt x="3089164" y="675140"/>
                  <a:pt x="3074276" y="650327"/>
                </a:cubicBezTo>
                <a:cubicBezTo>
                  <a:pt x="3072086" y="641569"/>
                  <a:pt x="3070187" y="632733"/>
                  <a:pt x="3067707" y="624052"/>
                </a:cubicBezTo>
                <a:cubicBezTo>
                  <a:pt x="3065805" y="617394"/>
                  <a:pt x="3062640" y="611104"/>
                  <a:pt x="3061138" y="604345"/>
                </a:cubicBezTo>
                <a:cubicBezTo>
                  <a:pt x="3058249" y="591343"/>
                  <a:pt x="3057564" y="577909"/>
                  <a:pt x="3054569" y="564931"/>
                </a:cubicBezTo>
                <a:cubicBezTo>
                  <a:pt x="3051661" y="552329"/>
                  <a:pt x="3034280" y="493503"/>
                  <a:pt x="3028293" y="479534"/>
                </a:cubicBezTo>
                <a:cubicBezTo>
                  <a:pt x="3020578" y="461533"/>
                  <a:pt x="3006768" y="445983"/>
                  <a:pt x="3002018" y="426983"/>
                </a:cubicBezTo>
                <a:cubicBezTo>
                  <a:pt x="2985156" y="359537"/>
                  <a:pt x="3008074" y="443133"/>
                  <a:pt x="2982311" y="374431"/>
                </a:cubicBezTo>
                <a:cubicBezTo>
                  <a:pt x="2963862" y="325234"/>
                  <a:pt x="2992345" y="370292"/>
                  <a:pt x="2956035" y="321879"/>
                </a:cubicBezTo>
                <a:cubicBezTo>
                  <a:pt x="2953845" y="315310"/>
                  <a:pt x="2950325" y="309043"/>
                  <a:pt x="2949466" y="302172"/>
                </a:cubicBezTo>
                <a:cubicBezTo>
                  <a:pt x="2945925" y="273843"/>
                  <a:pt x="2952767" y="243565"/>
                  <a:pt x="2942897" y="216776"/>
                </a:cubicBezTo>
                <a:cubicBezTo>
                  <a:pt x="2936474" y="199342"/>
                  <a:pt x="2916621" y="190500"/>
                  <a:pt x="2903483" y="177362"/>
                </a:cubicBezTo>
                <a:lnTo>
                  <a:pt x="2883776" y="157655"/>
                </a:lnTo>
                <a:cubicBezTo>
                  <a:pt x="2881586" y="151086"/>
                  <a:pt x="2880304" y="144141"/>
                  <a:pt x="2877207" y="137948"/>
                </a:cubicBezTo>
                <a:cubicBezTo>
                  <a:pt x="2873676" y="130887"/>
                  <a:pt x="2867179" y="125498"/>
                  <a:pt x="2864069" y="118241"/>
                </a:cubicBezTo>
                <a:cubicBezTo>
                  <a:pt x="2850619" y="86857"/>
                  <a:pt x="2866851" y="97246"/>
                  <a:pt x="2844362" y="72258"/>
                </a:cubicBezTo>
                <a:cubicBezTo>
                  <a:pt x="2829861" y="56146"/>
                  <a:pt x="2798380" y="26276"/>
                  <a:pt x="2798380" y="26276"/>
                </a:cubicBezTo>
                <a:cubicBezTo>
                  <a:pt x="2791119" y="4492"/>
                  <a:pt x="2791811" y="13493"/>
                  <a:pt x="2791811" y="0"/>
                </a:cubicBezTo>
              </a:path>
            </a:pathLst>
          </a:custGeom>
          <a:noFill/>
          <a:ln w="381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3</xdr:col>
      <xdr:colOff>333857</xdr:colOff>
      <xdr:row>7</xdr:row>
      <xdr:rowOff>148183</xdr:rowOff>
    </xdr:from>
    <xdr:to>
      <xdr:col>23</xdr:col>
      <xdr:colOff>403141</xdr:colOff>
      <xdr:row>42</xdr:row>
      <xdr:rowOff>123760</xdr:rowOff>
    </xdr:to>
    <xdr:grpSp>
      <xdr:nvGrpSpPr>
        <xdr:cNvPr id="113" name="Group 112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GrpSpPr/>
      </xdr:nvGrpSpPr>
      <xdr:grpSpPr>
        <a:xfrm>
          <a:off x="2162657" y="1624558"/>
          <a:ext cx="12261284" cy="6643077"/>
          <a:chOff x="2172596" y="557758"/>
          <a:chExt cx="12327545" cy="6643077"/>
        </a:xfrm>
        <a:solidFill>
          <a:srgbClr val="FF0000">
            <a:alpha val="34902"/>
          </a:srgbClr>
        </a:solidFill>
      </xdr:grpSpPr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/>
        </xdr:nvSpPr>
        <xdr:spPr>
          <a:xfrm>
            <a:off x="13714928" y="557758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/>
        </xdr:nvSpPr>
        <xdr:spPr>
          <a:xfrm>
            <a:off x="13705085" y="865093"/>
            <a:ext cx="400000" cy="393192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4 sq mi</a:t>
            </a:r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/>
        </xdr:nvSpPr>
        <xdr:spPr>
          <a:xfrm>
            <a:off x="13705962" y="1353667"/>
            <a:ext cx="794179" cy="786384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16</a:t>
            </a:r>
            <a:r>
              <a:rPr lang="en-US" sz="900" baseline="0">
                <a:solidFill>
                  <a:srgbClr val="FF0000"/>
                </a:solidFill>
              </a:rPr>
              <a:t> sq </a:t>
            </a:r>
            <a:r>
              <a:rPr lang="en-US" sz="900">
                <a:solidFill>
                  <a:srgbClr val="FF0000"/>
                </a:solidFill>
              </a:rPr>
              <a:t>mi</a:t>
            </a:r>
          </a:p>
        </xdr:txBody>
      </xdr:sp>
      <xdr:sp macro="" textlink="">
        <xdr:nvSpPr>
          <xdr:cNvPr id="8" name="a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2769896" y="2084292"/>
            <a:ext cx="794180" cy="786384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16</a:t>
            </a:r>
            <a:r>
              <a:rPr lang="en-US" sz="900" baseline="0">
                <a:solidFill>
                  <a:srgbClr val="FF0000"/>
                </a:solidFill>
              </a:rPr>
              <a:t> sq </a:t>
            </a:r>
            <a:r>
              <a:rPr lang="en-US" sz="900">
                <a:solidFill>
                  <a:srgbClr val="FF0000"/>
                </a:solidFill>
              </a:rPr>
              <a:t>mi</a:t>
            </a:r>
          </a:p>
        </xdr:txBody>
      </xdr:sp>
      <xdr:sp macro="" textlink="">
        <xdr:nvSpPr>
          <xdr:cNvPr id="9" name="Rectangle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/>
        </xdr:nvSpPr>
        <xdr:spPr>
          <a:xfrm>
            <a:off x="3568827" y="2084292"/>
            <a:ext cx="801974" cy="786384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16</a:t>
            </a:r>
            <a:r>
              <a:rPr lang="en-US" sz="900" baseline="0">
                <a:solidFill>
                  <a:srgbClr val="FF0000"/>
                </a:solidFill>
              </a:rPr>
              <a:t> sq </a:t>
            </a:r>
            <a:r>
              <a:rPr lang="en-US" sz="900">
                <a:solidFill>
                  <a:srgbClr val="FF0000"/>
                </a:solidFill>
              </a:rPr>
              <a:t>mi</a:t>
            </a:r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/>
        </xdr:nvSpPr>
        <xdr:spPr>
          <a:xfrm>
            <a:off x="3568827" y="2864222"/>
            <a:ext cx="801974" cy="786384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16</a:t>
            </a:r>
            <a:r>
              <a:rPr lang="en-US" sz="900" baseline="0">
                <a:solidFill>
                  <a:srgbClr val="FF0000"/>
                </a:solidFill>
              </a:rPr>
              <a:t> sq </a:t>
            </a:r>
            <a:r>
              <a:rPr lang="en-US" sz="900">
                <a:solidFill>
                  <a:srgbClr val="FF0000"/>
                </a:solidFill>
              </a:rPr>
              <a:t>mi</a:t>
            </a:r>
          </a:p>
        </xdr:txBody>
      </xdr:sp>
      <xdr:sp macro="" textlink="">
        <xdr:nvSpPr>
          <xdr:cNvPr id="11" name="Rectangle 10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/>
        </xdr:nvSpPr>
        <xdr:spPr>
          <a:xfrm>
            <a:off x="4371077" y="2870944"/>
            <a:ext cx="794180" cy="786384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16</a:t>
            </a:r>
            <a:r>
              <a:rPr lang="en-US" sz="900" baseline="0">
                <a:solidFill>
                  <a:srgbClr val="FF0000"/>
                </a:solidFill>
              </a:rPr>
              <a:t> sq </a:t>
            </a:r>
            <a:r>
              <a:rPr lang="en-US" sz="900">
                <a:solidFill>
                  <a:srgbClr val="FF0000"/>
                </a:solidFill>
              </a:rPr>
              <a:t>mi</a:t>
            </a:r>
          </a:p>
        </xdr:txBody>
      </xdr:sp>
      <xdr:sp macro="" textlink="">
        <xdr:nvSpPr>
          <xdr:cNvPr id="12" name="Rectangle 11"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/>
        </xdr:nvSpPr>
        <xdr:spPr>
          <a:xfrm>
            <a:off x="4371077" y="3650878"/>
            <a:ext cx="794180" cy="786384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16</a:t>
            </a:r>
            <a:r>
              <a:rPr lang="en-US" sz="900" baseline="0">
                <a:solidFill>
                  <a:srgbClr val="FF0000"/>
                </a:solidFill>
              </a:rPr>
              <a:t> sq </a:t>
            </a:r>
            <a:r>
              <a:rPr lang="en-US" sz="900">
                <a:solidFill>
                  <a:srgbClr val="FF0000"/>
                </a:solidFill>
              </a:rPr>
              <a:t>mi</a:t>
            </a:r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/>
        </xdr:nvSpPr>
        <xdr:spPr>
          <a:xfrm>
            <a:off x="5165525" y="3650878"/>
            <a:ext cx="794179" cy="786384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16</a:t>
            </a:r>
            <a:r>
              <a:rPr lang="en-US" sz="900" baseline="0">
                <a:solidFill>
                  <a:srgbClr val="FF0000"/>
                </a:solidFill>
              </a:rPr>
              <a:t> sq </a:t>
            </a:r>
            <a:r>
              <a:rPr lang="en-US" sz="900">
                <a:solidFill>
                  <a:srgbClr val="FF0000"/>
                </a:solidFill>
              </a:rPr>
              <a:t>mi</a:t>
            </a:r>
          </a:p>
        </xdr:txBody>
      </xdr:sp>
      <xdr:sp macro="" textlink="">
        <xdr:nvSpPr>
          <xdr:cNvPr id="14" name="Rectangle 13"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SpPr/>
        </xdr:nvSpPr>
        <xdr:spPr>
          <a:xfrm>
            <a:off x="5165525" y="4442013"/>
            <a:ext cx="794179" cy="786384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16</a:t>
            </a:r>
            <a:r>
              <a:rPr lang="en-US" sz="900" baseline="0">
                <a:solidFill>
                  <a:srgbClr val="FF0000"/>
                </a:solidFill>
              </a:rPr>
              <a:t> sq </a:t>
            </a:r>
            <a:r>
              <a:rPr lang="en-US" sz="900">
                <a:solidFill>
                  <a:srgbClr val="FF0000"/>
                </a:solidFill>
              </a:rPr>
              <a:t>mi</a:t>
            </a:r>
          </a:p>
        </xdr:txBody>
      </xdr:sp>
      <xdr:sp macro="" textlink="">
        <xdr:nvSpPr>
          <xdr:cNvPr id="15" name="Rectangle 14">
            <a:extLst>
              <a:ext uri="{FF2B5EF4-FFF2-40B4-BE49-F238E27FC236}">
                <a16:creationId xmlns:a16="http://schemas.microsoft.com/office/drawing/2014/main" id="{00000000-0008-0000-0500-00000F000000}"/>
              </a:ext>
            </a:extLst>
          </xdr:cNvPr>
          <xdr:cNvSpPr/>
        </xdr:nvSpPr>
        <xdr:spPr>
          <a:xfrm>
            <a:off x="5165525" y="5233149"/>
            <a:ext cx="794179" cy="786384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16</a:t>
            </a:r>
            <a:r>
              <a:rPr lang="en-US" sz="900" baseline="0">
                <a:solidFill>
                  <a:srgbClr val="FF0000"/>
                </a:solidFill>
              </a:rPr>
              <a:t> sq </a:t>
            </a:r>
            <a:r>
              <a:rPr lang="en-US" sz="900">
                <a:solidFill>
                  <a:srgbClr val="FF0000"/>
                </a:solidFill>
              </a:rPr>
              <a:t>mi</a:t>
            </a:r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00000000-0008-0000-0500-000010000000}"/>
              </a:ext>
            </a:extLst>
          </xdr:cNvPr>
          <xdr:cNvSpPr/>
        </xdr:nvSpPr>
        <xdr:spPr>
          <a:xfrm>
            <a:off x="5959974" y="3650878"/>
            <a:ext cx="801975" cy="786384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16</a:t>
            </a:r>
            <a:r>
              <a:rPr lang="en-US" sz="900" baseline="0">
                <a:solidFill>
                  <a:srgbClr val="FF0000"/>
                </a:solidFill>
              </a:rPr>
              <a:t> sq </a:t>
            </a:r>
            <a:r>
              <a:rPr lang="en-US" sz="900">
                <a:solidFill>
                  <a:srgbClr val="FF0000"/>
                </a:solidFill>
              </a:rPr>
              <a:t>mi</a:t>
            </a:r>
          </a:p>
        </xdr:txBody>
      </xdr:sp>
      <xdr:sp macro="" textlink="">
        <xdr:nvSpPr>
          <xdr:cNvPr id="17" name="Rectangle 16"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SpPr/>
        </xdr:nvSpPr>
        <xdr:spPr>
          <a:xfrm>
            <a:off x="5966696" y="4442015"/>
            <a:ext cx="801975" cy="786384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16</a:t>
            </a:r>
            <a:r>
              <a:rPr lang="en-US" sz="900" baseline="0">
                <a:solidFill>
                  <a:srgbClr val="FF0000"/>
                </a:solidFill>
              </a:rPr>
              <a:t> sq </a:t>
            </a:r>
            <a:r>
              <a:rPr lang="en-US" sz="900">
                <a:solidFill>
                  <a:srgbClr val="FF0000"/>
                </a:solidFill>
              </a:rPr>
              <a:t>mi</a:t>
            </a:r>
          </a:p>
        </xdr:txBody>
      </xdr:sp>
      <xdr:sp macro="" textlink="">
        <xdr:nvSpPr>
          <xdr:cNvPr id="18" name="Rectangle 17">
            <a:extLst>
              <a:ext uri="{FF2B5EF4-FFF2-40B4-BE49-F238E27FC236}">
                <a16:creationId xmlns:a16="http://schemas.microsoft.com/office/drawing/2014/main" id="{00000000-0008-0000-0500-000012000000}"/>
              </a:ext>
            </a:extLst>
          </xdr:cNvPr>
          <xdr:cNvSpPr/>
        </xdr:nvSpPr>
        <xdr:spPr>
          <a:xfrm>
            <a:off x="5962212" y="5233153"/>
            <a:ext cx="801975" cy="786384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16</a:t>
            </a:r>
            <a:r>
              <a:rPr lang="en-US" sz="900" baseline="0">
                <a:solidFill>
                  <a:srgbClr val="FF0000"/>
                </a:solidFill>
              </a:rPr>
              <a:t> sq </a:t>
            </a:r>
            <a:r>
              <a:rPr lang="en-US" sz="900">
                <a:solidFill>
                  <a:srgbClr val="FF0000"/>
                </a:solidFill>
              </a:rPr>
              <a:t>mi</a:t>
            </a:r>
          </a:p>
        </xdr:txBody>
      </xdr:sp>
      <xdr:sp macro="" textlink="">
        <xdr:nvSpPr>
          <xdr:cNvPr id="19" name="Rectangle 18">
            <a:extLst>
              <a:ext uri="{FF2B5EF4-FFF2-40B4-BE49-F238E27FC236}">
                <a16:creationId xmlns:a16="http://schemas.microsoft.com/office/drawing/2014/main" id="{00000000-0008-0000-0500-000013000000}"/>
              </a:ext>
            </a:extLst>
          </xdr:cNvPr>
          <xdr:cNvSpPr/>
        </xdr:nvSpPr>
        <xdr:spPr>
          <a:xfrm>
            <a:off x="6768938" y="4442015"/>
            <a:ext cx="794180" cy="786384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16</a:t>
            </a:r>
            <a:r>
              <a:rPr lang="en-US" sz="900" baseline="0">
                <a:solidFill>
                  <a:srgbClr val="FF0000"/>
                </a:solidFill>
              </a:rPr>
              <a:t> sq </a:t>
            </a:r>
            <a:r>
              <a:rPr lang="en-US" sz="900">
                <a:solidFill>
                  <a:srgbClr val="FF0000"/>
                </a:solidFill>
              </a:rPr>
              <a:t>mi</a:t>
            </a:r>
          </a:p>
        </xdr:txBody>
      </xdr:sp>
      <xdr:sp macro="" textlink="">
        <xdr:nvSpPr>
          <xdr:cNvPr id="20" name="Rectangle 19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SpPr/>
        </xdr:nvSpPr>
        <xdr:spPr>
          <a:xfrm>
            <a:off x="6768938" y="5233153"/>
            <a:ext cx="794180" cy="786384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16</a:t>
            </a:r>
            <a:r>
              <a:rPr lang="en-US" sz="900" baseline="0">
                <a:solidFill>
                  <a:srgbClr val="FF0000"/>
                </a:solidFill>
              </a:rPr>
              <a:t> sq </a:t>
            </a:r>
            <a:r>
              <a:rPr lang="en-US" sz="900">
                <a:solidFill>
                  <a:srgbClr val="FF0000"/>
                </a:solidFill>
              </a:rPr>
              <a:t>mi</a:t>
            </a:r>
          </a:p>
        </xdr:txBody>
      </xdr:sp>
      <xdr:sp macro="" textlink="">
        <xdr:nvSpPr>
          <xdr:cNvPr id="24" name="Rectangle 23">
            <a:extLst>
              <a:ext uri="{FF2B5EF4-FFF2-40B4-BE49-F238E27FC236}">
                <a16:creationId xmlns:a16="http://schemas.microsoft.com/office/drawing/2014/main" id="{00000000-0008-0000-0500-000018000000}"/>
              </a:ext>
            </a:extLst>
          </xdr:cNvPr>
          <xdr:cNvSpPr/>
        </xdr:nvSpPr>
        <xdr:spPr>
          <a:xfrm>
            <a:off x="5563435" y="6015316"/>
            <a:ext cx="392205" cy="393192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4 sq mi</a:t>
            </a:r>
          </a:p>
        </xdr:txBody>
      </xdr:sp>
      <xdr:sp macro="" textlink="">
        <xdr:nvSpPr>
          <xdr:cNvPr id="27" name="Rectangle 26">
            <a:extLst>
              <a:ext uri="{FF2B5EF4-FFF2-40B4-BE49-F238E27FC236}">
                <a16:creationId xmlns:a16="http://schemas.microsoft.com/office/drawing/2014/main" id="{00000000-0008-0000-0500-00001B000000}"/>
              </a:ext>
            </a:extLst>
          </xdr:cNvPr>
          <xdr:cNvSpPr/>
        </xdr:nvSpPr>
        <xdr:spPr>
          <a:xfrm>
            <a:off x="6759978" y="6019639"/>
            <a:ext cx="392205" cy="393192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4 sq mi</a:t>
            </a:r>
          </a:p>
        </xdr:txBody>
      </xdr:sp>
      <xdr:sp macro="" textlink="">
        <xdr:nvSpPr>
          <xdr:cNvPr id="29" name="Rectangle 28">
            <a:extLst>
              <a:ext uri="{FF2B5EF4-FFF2-40B4-BE49-F238E27FC236}">
                <a16:creationId xmlns:a16="http://schemas.microsoft.com/office/drawing/2014/main" id="{00000000-0008-0000-0500-00001D000000}"/>
              </a:ext>
            </a:extLst>
          </xdr:cNvPr>
          <xdr:cNvSpPr/>
        </xdr:nvSpPr>
        <xdr:spPr>
          <a:xfrm>
            <a:off x="6762219" y="4043075"/>
            <a:ext cx="392205" cy="393192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4 sq mi</a:t>
            </a:r>
          </a:p>
        </xdr:txBody>
      </xdr:sp>
      <xdr:sp macro="" textlink="">
        <xdr:nvSpPr>
          <xdr:cNvPr id="30" name="Rectangle 29">
            <a:extLst>
              <a:ext uri="{FF2B5EF4-FFF2-40B4-BE49-F238E27FC236}">
                <a16:creationId xmlns:a16="http://schemas.microsoft.com/office/drawing/2014/main" id="{00000000-0008-0000-0500-00001E000000}"/>
              </a:ext>
            </a:extLst>
          </xdr:cNvPr>
          <xdr:cNvSpPr/>
        </xdr:nvSpPr>
        <xdr:spPr>
          <a:xfrm>
            <a:off x="4765523" y="4442007"/>
            <a:ext cx="400001" cy="393192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4 sq mi</a:t>
            </a:r>
          </a:p>
        </xdr:txBody>
      </xdr:sp>
      <xdr:sp macro="" textlink="">
        <xdr:nvSpPr>
          <xdr:cNvPr id="31" name="Rectangle 30">
            <a:extLst>
              <a:ext uri="{FF2B5EF4-FFF2-40B4-BE49-F238E27FC236}">
                <a16:creationId xmlns:a16="http://schemas.microsoft.com/office/drawing/2014/main" id="{00000000-0008-0000-0500-00001F000000}"/>
              </a:ext>
            </a:extLst>
          </xdr:cNvPr>
          <xdr:cNvSpPr/>
        </xdr:nvSpPr>
        <xdr:spPr>
          <a:xfrm>
            <a:off x="4761039" y="4829733"/>
            <a:ext cx="400001" cy="393192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4 sq mi</a:t>
            </a:r>
          </a:p>
        </xdr:txBody>
      </xdr:sp>
      <xdr:sp macro="" textlink="">
        <xdr:nvSpPr>
          <xdr:cNvPr id="32" name="Rectangle 31">
            <a:extLst>
              <a:ext uri="{FF2B5EF4-FFF2-40B4-BE49-F238E27FC236}">
                <a16:creationId xmlns:a16="http://schemas.microsoft.com/office/drawing/2014/main" id="{00000000-0008-0000-0500-000020000000}"/>
              </a:ext>
            </a:extLst>
          </xdr:cNvPr>
          <xdr:cNvSpPr/>
        </xdr:nvSpPr>
        <xdr:spPr>
          <a:xfrm>
            <a:off x="3970921" y="3655203"/>
            <a:ext cx="400000" cy="393192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4 sq mi</a:t>
            </a:r>
          </a:p>
        </xdr:txBody>
      </xdr:sp>
      <xdr:sp macro="" textlink="">
        <xdr:nvSpPr>
          <xdr:cNvPr id="33" name="Rectangle 32">
            <a:extLst>
              <a:ext uri="{FF2B5EF4-FFF2-40B4-BE49-F238E27FC236}">
                <a16:creationId xmlns:a16="http://schemas.microsoft.com/office/drawing/2014/main" id="{00000000-0008-0000-0500-000021000000}"/>
              </a:ext>
            </a:extLst>
          </xdr:cNvPr>
          <xdr:cNvSpPr/>
        </xdr:nvSpPr>
        <xdr:spPr>
          <a:xfrm>
            <a:off x="4366589" y="2474258"/>
            <a:ext cx="392205" cy="393192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4 sq mi</a:t>
            </a:r>
          </a:p>
        </xdr:txBody>
      </xdr:sp>
      <xdr:sp macro="" textlink="">
        <xdr:nvSpPr>
          <xdr:cNvPr id="34" name="Rectangle 33">
            <a:extLst>
              <a:ext uri="{FF2B5EF4-FFF2-40B4-BE49-F238E27FC236}">
                <a16:creationId xmlns:a16="http://schemas.microsoft.com/office/drawing/2014/main" id="{00000000-0008-0000-0500-000022000000}"/>
              </a:ext>
            </a:extLst>
          </xdr:cNvPr>
          <xdr:cNvSpPr/>
        </xdr:nvSpPr>
        <xdr:spPr>
          <a:xfrm>
            <a:off x="3181103" y="2867237"/>
            <a:ext cx="392205" cy="393192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4 sq mi</a:t>
            </a:r>
          </a:p>
        </xdr:txBody>
      </xdr:sp>
      <xdr:sp macro="" textlink="">
        <xdr:nvSpPr>
          <xdr:cNvPr id="36" name="Rectangle 35">
            <a:extLst>
              <a:ext uri="{FF2B5EF4-FFF2-40B4-BE49-F238E27FC236}">
                <a16:creationId xmlns:a16="http://schemas.microsoft.com/office/drawing/2014/main" id="{00000000-0008-0000-0500-000024000000}"/>
              </a:ext>
            </a:extLst>
          </xdr:cNvPr>
          <xdr:cNvSpPr/>
        </xdr:nvSpPr>
        <xdr:spPr>
          <a:xfrm>
            <a:off x="3174539" y="1689999"/>
            <a:ext cx="392205" cy="393192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4 sq mi</a:t>
            </a:r>
          </a:p>
        </xdr:txBody>
      </xdr:sp>
      <xdr:sp macro="" textlink="">
        <xdr:nvSpPr>
          <xdr:cNvPr id="38" name="Rectangle 37">
            <a:extLst>
              <a:ext uri="{FF2B5EF4-FFF2-40B4-BE49-F238E27FC236}">
                <a16:creationId xmlns:a16="http://schemas.microsoft.com/office/drawing/2014/main" id="{00000000-0008-0000-0500-000026000000}"/>
              </a:ext>
            </a:extLst>
          </xdr:cNvPr>
          <xdr:cNvSpPr/>
        </xdr:nvSpPr>
        <xdr:spPr>
          <a:xfrm>
            <a:off x="5957728" y="6019654"/>
            <a:ext cx="801975" cy="786384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16</a:t>
            </a:r>
            <a:r>
              <a:rPr lang="en-US" sz="900" baseline="0">
                <a:solidFill>
                  <a:srgbClr val="FF0000"/>
                </a:solidFill>
              </a:rPr>
              <a:t> sq </a:t>
            </a:r>
            <a:r>
              <a:rPr lang="en-US" sz="900">
                <a:solidFill>
                  <a:srgbClr val="FF0000"/>
                </a:solidFill>
              </a:rPr>
              <a:t>mi</a:t>
            </a:r>
          </a:p>
        </xdr:txBody>
      </xdr:sp>
      <xdr:sp macro="" textlink="">
        <xdr:nvSpPr>
          <xdr:cNvPr id="43" name="Rectangle 42">
            <a:extLst>
              <a:ext uri="{FF2B5EF4-FFF2-40B4-BE49-F238E27FC236}">
                <a16:creationId xmlns:a16="http://schemas.microsoft.com/office/drawing/2014/main" id="{00000000-0008-0000-0500-00002B000000}"/>
              </a:ext>
            </a:extLst>
          </xdr:cNvPr>
          <xdr:cNvSpPr/>
        </xdr:nvSpPr>
        <xdr:spPr>
          <a:xfrm>
            <a:off x="6368162" y="6804906"/>
            <a:ext cx="394204" cy="393192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4 sq mi</a:t>
            </a:r>
          </a:p>
        </xdr:txBody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00000000-0008-0000-0500-00002C000000}"/>
              </a:ext>
            </a:extLst>
          </xdr:cNvPr>
          <xdr:cNvSpPr/>
        </xdr:nvSpPr>
        <xdr:spPr>
          <a:xfrm>
            <a:off x="3976944" y="4040686"/>
            <a:ext cx="394204" cy="393192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4 sq mi</a:t>
            </a:r>
          </a:p>
        </xdr:txBody>
      </xdr:sp>
      <xdr:sp macro="" textlink="">
        <xdr:nvSpPr>
          <xdr:cNvPr id="46" name="Rectangle 45">
            <a:extLst>
              <a:ext uri="{FF2B5EF4-FFF2-40B4-BE49-F238E27FC236}">
                <a16:creationId xmlns:a16="http://schemas.microsoft.com/office/drawing/2014/main" id="{00000000-0008-0000-0500-00002E000000}"/>
              </a:ext>
            </a:extLst>
          </xdr:cNvPr>
          <xdr:cNvSpPr/>
        </xdr:nvSpPr>
        <xdr:spPr>
          <a:xfrm>
            <a:off x="2766575" y="1691312"/>
            <a:ext cx="394204" cy="393192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4 sq mi</a:t>
            </a:r>
          </a:p>
        </xdr:txBody>
      </xdr:sp>
      <xdr:sp macro="" textlink="">
        <xdr:nvSpPr>
          <xdr:cNvPr id="47" name="Rectangle 46">
            <a:extLst>
              <a:ext uri="{FF2B5EF4-FFF2-40B4-BE49-F238E27FC236}">
                <a16:creationId xmlns:a16="http://schemas.microsoft.com/office/drawing/2014/main" id="{00000000-0008-0000-0500-00002F000000}"/>
              </a:ext>
            </a:extLst>
          </xdr:cNvPr>
          <xdr:cNvSpPr/>
        </xdr:nvSpPr>
        <xdr:spPr>
          <a:xfrm>
            <a:off x="2371753" y="1686057"/>
            <a:ext cx="394204" cy="393192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4 sq mi</a:t>
            </a:r>
          </a:p>
        </xdr:txBody>
      </xdr:sp>
      <xdr:sp macro="" textlink="">
        <xdr:nvSpPr>
          <xdr:cNvPr id="48" name="Rectangle 47">
            <a:extLst>
              <a:ext uri="{FF2B5EF4-FFF2-40B4-BE49-F238E27FC236}">
                <a16:creationId xmlns:a16="http://schemas.microsoft.com/office/drawing/2014/main" id="{00000000-0008-0000-0500-000030000000}"/>
              </a:ext>
            </a:extLst>
          </xdr:cNvPr>
          <xdr:cNvSpPr/>
        </xdr:nvSpPr>
        <xdr:spPr>
          <a:xfrm>
            <a:off x="3566047" y="1687367"/>
            <a:ext cx="394204" cy="393192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4 sq mi</a:t>
            </a:r>
          </a:p>
        </xdr:txBody>
      </xdr:sp>
      <xdr:sp macro="" textlink="">
        <xdr:nvSpPr>
          <xdr:cNvPr id="50" name="Rectangle 49">
            <a:extLst>
              <a:ext uri="{FF2B5EF4-FFF2-40B4-BE49-F238E27FC236}">
                <a16:creationId xmlns:a16="http://schemas.microsoft.com/office/drawing/2014/main" id="{00000000-0008-0000-0500-000032000000}"/>
              </a:ext>
            </a:extLst>
          </xdr:cNvPr>
          <xdr:cNvSpPr/>
        </xdr:nvSpPr>
        <xdr:spPr>
          <a:xfrm>
            <a:off x="6759973" y="3837674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51" name="Rectangle 50">
            <a:extLst>
              <a:ext uri="{FF2B5EF4-FFF2-40B4-BE49-F238E27FC236}">
                <a16:creationId xmlns:a16="http://schemas.microsoft.com/office/drawing/2014/main" id="{00000000-0008-0000-0500-000033000000}"/>
              </a:ext>
            </a:extLst>
          </xdr:cNvPr>
          <xdr:cNvSpPr/>
        </xdr:nvSpPr>
        <xdr:spPr>
          <a:xfrm>
            <a:off x="7152572" y="4238557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52" name="Rectangle 51">
            <a:extLst>
              <a:ext uri="{FF2B5EF4-FFF2-40B4-BE49-F238E27FC236}">
                <a16:creationId xmlns:a16="http://schemas.microsoft.com/office/drawing/2014/main" id="{00000000-0008-0000-0500-000034000000}"/>
              </a:ext>
            </a:extLst>
          </xdr:cNvPr>
          <xdr:cNvSpPr/>
        </xdr:nvSpPr>
        <xdr:spPr>
          <a:xfrm>
            <a:off x="7155884" y="4043089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53" name="Rectangle 52">
            <a:extLst>
              <a:ext uri="{FF2B5EF4-FFF2-40B4-BE49-F238E27FC236}">
                <a16:creationId xmlns:a16="http://schemas.microsoft.com/office/drawing/2014/main" id="{00000000-0008-0000-0500-000035000000}"/>
              </a:ext>
            </a:extLst>
          </xdr:cNvPr>
          <xdr:cNvSpPr/>
        </xdr:nvSpPr>
        <xdr:spPr>
          <a:xfrm>
            <a:off x="6952127" y="3839335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54" name="Rectangle 53">
            <a:extLst>
              <a:ext uri="{FF2B5EF4-FFF2-40B4-BE49-F238E27FC236}">
                <a16:creationId xmlns:a16="http://schemas.microsoft.com/office/drawing/2014/main" id="{00000000-0008-0000-0500-000036000000}"/>
              </a:ext>
            </a:extLst>
          </xdr:cNvPr>
          <xdr:cNvSpPr/>
        </xdr:nvSpPr>
        <xdr:spPr>
          <a:xfrm>
            <a:off x="7560069" y="5035344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55" name="Rectangle 54">
            <a:extLst>
              <a:ext uri="{FF2B5EF4-FFF2-40B4-BE49-F238E27FC236}">
                <a16:creationId xmlns:a16="http://schemas.microsoft.com/office/drawing/2014/main" id="{00000000-0008-0000-0500-000037000000}"/>
              </a:ext>
            </a:extLst>
          </xdr:cNvPr>
          <xdr:cNvSpPr/>
        </xdr:nvSpPr>
        <xdr:spPr>
          <a:xfrm>
            <a:off x="7563381" y="4831593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56" name="Rectangle 55">
            <a:extLst>
              <a:ext uri="{FF2B5EF4-FFF2-40B4-BE49-F238E27FC236}">
                <a16:creationId xmlns:a16="http://schemas.microsoft.com/office/drawing/2014/main" id="{00000000-0008-0000-0500-000038000000}"/>
              </a:ext>
            </a:extLst>
          </xdr:cNvPr>
          <xdr:cNvSpPr/>
        </xdr:nvSpPr>
        <xdr:spPr>
          <a:xfrm>
            <a:off x="7558410" y="5232470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57" name="Rectangle 56">
            <a:extLst>
              <a:ext uri="{FF2B5EF4-FFF2-40B4-BE49-F238E27FC236}">
                <a16:creationId xmlns:a16="http://schemas.microsoft.com/office/drawing/2014/main" id="{00000000-0008-0000-0500-000039000000}"/>
              </a:ext>
            </a:extLst>
          </xdr:cNvPr>
          <xdr:cNvSpPr/>
        </xdr:nvSpPr>
        <xdr:spPr>
          <a:xfrm>
            <a:off x="7561722" y="5434564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58" name="Rectangle 57">
            <a:extLst>
              <a:ext uri="{FF2B5EF4-FFF2-40B4-BE49-F238E27FC236}">
                <a16:creationId xmlns:a16="http://schemas.microsoft.com/office/drawing/2014/main" id="{00000000-0008-0000-0500-00003A000000}"/>
              </a:ext>
            </a:extLst>
          </xdr:cNvPr>
          <xdr:cNvSpPr/>
        </xdr:nvSpPr>
        <xdr:spPr>
          <a:xfrm>
            <a:off x="7561722" y="5633347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59" name="Rectangle 58">
            <a:extLst>
              <a:ext uri="{FF2B5EF4-FFF2-40B4-BE49-F238E27FC236}">
                <a16:creationId xmlns:a16="http://schemas.microsoft.com/office/drawing/2014/main" id="{00000000-0008-0000-0500-00003B000000}"/>
              </a:ext>
            </a:extLst>
          </xdr:cNvPr>
          <xdr:cNvSpPr/>
        </xdr:nvSpPr>
        <xdr:spPr>
          <a:xfrm>
            <a:off x="7159188" y="6025943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60" name="Rectangle 59">
            <a:extLst>
              <a:ext uri="{FF2B5EF4-FFF2-40B4-BE49-F238E27FC236}">
                <a16:creationId xmlns:a16="http://schemas.microsoft.com/office/drawing/2014/main" id="{00000000-0008-0000-0500-00003C000000}"/>
              </a:ext>
            </a:extLst>
          </xdr:cNvPr>
          <xdr:cNvSpPr/>
        </xdr:nvSpPr>
        <xdr:spPr>
          <a:xfrm>
            <a:off x="6756649" y="6410256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61" name="Rectangle 60">
            <a:extLst>
              <a:ext uri="{FF2B5EF4-FFF2-40B4-BE49-F238E27FC236}">
                <a16:creationId xmlns:a16="http://schemas.microsoft.com/office/drawing/2014/main" id="{00000000-0008-0000-0500-00003D000000}"/>
              </a:ext>
            </a:extLst>
          </xdr:cNvPr>
          <xdr:cNvSpPr/>
        </xdr:nvSpPr>
        <xdr:spPr>
          <a:xfrm>
            <a:off x="6759959" y="6612353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62" name="Rectangle 61">
            <a:extLst>
              <a:ext uri="{FF2B5EF4-FFF2-40B4-BE49-F238E27FC236}">
                <a16:creationId xmlns:a16="http://schemas.microsoft.com/office/drawing/2014/main" id="{00000000-0008-0000-0500-00003E000000}"/>
              </a:ext>
            </a:extLst>
          </xdr:cNvPr>
          <xdr:cNvSpPr/>
        </xdr:nvSpPr>
        <xdr:spPr>
          <a:xfrm>
            <a:off x="6158642" y="6802545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63" name="Rectangle 62">
            <a:extLst>
              <a:ext uri="{FF2B5EF4-FFF2-40B4-BE49-F238E27FC236}">
                <a16:creationId xmlns:a16="http://schemas.microsoft.com/office/drawing/2014/main" id="{00000000-0008-0000-0500-00003F000000}"/>
              </a:ext>
            </a:extLst>
          </xdr:cNvPr>
          <xdr:cNvSpPr/>
        </xdr:nvSpPr>
        <xdr:spPr>
          <a:xfrm>
            <a:off x="5954889" y="6805855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64" name="Rectangle 63">
            <a:extLst>
              <a:ext uri="{FF2B5EF4-FFF2-40B4-BE49-F238E27FC236}">
                <a16:creationId xmlns:a16="http://schemas.microsoft.com/office/drawing/2014/main" id="{00000000-0008-0000-0500-000040000000}"/>
              </a:ext>
            </a:extLst>
          </xdr:cNvPr>
          <xdr:cNvSpPr/>
        </xdr:nvSpPr>
        <xdr:spPr>
          <a:xfrm>
            <a:off x="6165270" y="6999667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65" name="Rectangle 64">
            <a:extLst>
              <a:ext uri="{FF2B5EF4-FFF2-40B4-BE49-F238E27FC236}">
                <a16:creationId xmlns:a16="http://schemas.microsoft.com/office/drawing/2014/main" id="{00000000-0008-0000-0500-000041000000}"/>
              </a:ext>
            </a:extLst>
          </xdr:cNvPr>
          <xdr:cNvSpPr/>
        </xdr:nvSpPr>
        <xdr:spPr>
          <a:xfrm>
            <a:off x="5758335" y="6407927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66" name="Rectangle 65">
            <a:extLst>
              <a:ext uri="{FF2B5EF4-FFF2-40B4-BE49-F238E27FC236}">
                <a16:creationId xmlns:a16="http://schemas.microsoft.com/office/drawing/2014/main" id="{00000000-0008-0000-0500-000042000000}"/>
              </a:ext>
            </a:extLst>
          </xdr:cNvPr>
          <xdr:cNvSpPr/>
        </xdr:nvSpPr>
        <xdr:spPr>
          <a:xfrm>
            <a:off x="5755957" y="6601998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67" name="Rectangle 66">
            <a:extLst>
              <a:ext uri="{FF2B5EF4-FFF2-40B4-BE49-F238E27FC236}">
                <a16:creationId xmlns:a16="http://schemas.microsoft.com/office/drawing/2014/main" id="{00000000-0008-0000-0500-000043000000}"/>
              </a:ext>
            </a:extLst>
          </xdr:cNvPr>
          <xdr:cNvSpPr/>
        </xdr:nvSpPr>
        <xdr:spPr>
          <a:xfrm>
            <a:off x="5354977" y="6022165"/>
            <a:ext cx="206862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68" name="Rectangle 67">
            <a:extLst>
              <a:ext uri="{FF2B5EF4-FFF2-40B4-BE49-F238E27FC236}">
                <a16:creationId xmlns:a16="http://schemas.microsoft.com/office/drawing/2014/main" id="{00000000-0008-0000-0500-000044000000}"/>
              </a:ext>
            </a:extLst>
          </xdr:cNvPr>
          <xdr:cNvSpPr/>
        </xdr:nvSpPr>
        <xdr:spPr>
          <a:xfrm>
            <a:off x="4962075" y="5218499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69" name="Rectangle 68">
            <a:extLst>
              <a:ext uri="{FF2B5EF4-FFF2-40B4-BE49-F238E27FC236}">
                <a16:creationId xmlns:a16="http://schemas.microsoft.com/office/drawing/2014/main" id="{00000000-0008-0000-0500-000045000000}"/>
              </a:ext>
            </a:extLst>
          </xdr:cNvPr>
          <xdr:cNvSpPr/>
        </xdr:nvSpPr>
        <xdr:spPr>
          <a:xfrm>
            <a:off x="4965650" y="5418523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70" name="Rectangle 69">
            <a:extLst>
              <a:ext uri="{FF2B5EF4-FFF2-40B4-BE49-F238E27FC236}">
                <a16:creationId xmlns:a16="http://schemas.microsoft.com/office/drawing/2014/main" id="{00000000-0008-0000-0500-000046000000}"/>
              </a:ext>
            </a:extLst>
          </xdr:cNvPr>
          <xdr:cNvSpPr/>
        </xdr:nvSpPr>
        <xdr:spPr>
          <a:xfrm>
            <a:off x="4755176" y="5219689"/>
            <a:ext cx="206862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71" name="Rectangle 70">
            <a:extLst>
              <a:ext uri="{FF2B5EF4-FFF2-40B4-BE49-F238E27FC236}">
                <a16:creationId xmlns:a16="http://schemas.microsoft.com/office/drawing/2014/main" id="{00000000-0008-0000-0500-000047000000}"/>
              </a:ext>
            </a:extLst>
          </xdr:cNvPr>
          <xdr:cNvSpPr/>
        </xdr:nvSpPr>
        <xdr:spPr>
          <a:xfrm>
            <a:off x="4568254" y="4443403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72" name="Rectangle 71">
            <a:extLst>
              <a:ext uri="{FF2B5EF4-FFF2-40B4-BE49-F238E27FC236}">
                <a16:creationId xmlns:a16="http://schemas.microsoft.com/office/drawing/2014/main" id="{00000000-0008-0000-0500-000048000000}"/>
              </a:ext>
            </a:extLst>
          </xdr:cNvPr>
          <xdr:cNvSpPr/>
        </xdr:nvSpPr>
        <xdr:spPr>
          <a:xfrm>
            <a:off x="4565876" y="4643427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73" name="Rectangle 72">
            <a:extLst>
              <a:ext uri="{FF2B5EF4-FFF2-40B4-BE49-F238E27FC236}">
                <a16:creationId xmlns:a16="http://schemas.microsoft.com/office/drawing/2014/main" id="{00000000-0008-0000-0500-000049000000}"/>
              </a:ext>
            </a:extLst>
          </xdr:cNvPr>
          <xdr:cNvSpPr/>
        </xdr:nvSpPr>
        <xdr:spPr>
          <a:xfrm>
            <a:off x="4361090" y="4438641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74" name="Rectangle 73">
            <a:extLst>
              <a:ext uri="{FF2B5EF4-FFF2-40B4-BE49-F238E27FC236}">
                <a16:creationId xmlns:a16="http://schemas.microsoft.com/office/drawing/2014/main" id="{00000000-0008-0000-0500-00004A000000}"/>
              </a:ext>
            </a:extLst>
          </xdr:cNvPr>
          <xdr:cNvSpPr/>
        </xdr:nvSpPr>
        <xdr:spPr>
          <a:xfrm>
            <a:off x="3763655" y="3656405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75" name="Rectangle 74">
            <a:extLst>
              <a:ext uri="{FF2B5EF4-FFF2-40B4-BE49-F238E27FC236}">
                <a16:creationId xmlns:a16="http://schemas.microsoft.com/office/drawing/2014/main" id="{00000000-0008-0000-0500-00004B000000}"/>
              </a:ext>
            </a:extLst>
          </xdr:cNvPr>
          <xdr:cNvSpPr/>
        </xdr:nvSpPr>
        <xdr:spPr>
          <a:xfrm>
            <a:off x="3767230" y="3856429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76" name="Rectangle 75">
            <a:extLst>
              <a:ext uri="{FF2B5EF4-FFF2-40B4-BE49-F238E27FC236}">
                <a16:creationId xmlns:a16="http://schemas.microsoft.com/office/drawing/2014/main" id="{00000000-0008-0000-0500-00004C000000}"/>
              </a:ext>
            </a:extLst>
          </xdr:cNvPr>
          <xdr:cNvSpPr/>
        </xdr:nvSpPr>
        <xdr:spPr>
          <a:xfrm>
            <a:off x="5165409" y="3254873"/>
            <a:ext cx="394203" cy="393192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4 sq mi</a:t>
            </a:r>
          </a:p>
        </xdr:txBody>
      </xdr:sp>
      <xdr:sp macro="" textlink="">
        <xdr:nvSpPr>
          <xdr:cNvPr id="78" name="Rectangle 77">
            <a:extLst>
              <a:ext uri="{FF2B5EF4-FFF2-40B4-BE49-F238E27FC236}">
                <a16:creationId xmlns:a16="http://schemas.microsoft.com/office/drawing/2014/main" id="{00000000-0008-0000-0500-00004E000000}"/>
              </a:ext>
            </a:extLst>
          </xdr:cNvPr>
          <xdr:cNvSpPr/>
        </xdr:nvSpPr>
        <xdr:spPr>
          <a:xfrm>
            <a:off x="5555962" y="3449236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79" name="Rectangle 78">
            <a:extLst>
              <a:ext uri="{FF2B5EF4-FFF2-40B4-BE49-F238E27FC236}">
                <a16:creationId xmlns:a16="http://schemas.microsoft.com/office/drawing/2014/main" id="{00000000-0008-0000-0500-00004F000000}"/>
              </a:ext>
            </a:extLst>
          </xdr:cNvPr>
          <xdr:cNvSpPr/>
        </xdr:nvSpPr>
        <xdr:spPr>
          <a:xfrm>
            <a:off x="4762334" y="2666994"/>
            <a:ext cx="206862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80" name="Rectangle 79">
            <a:extLst>
              <a:ext uri="{FF2B5EF4-FFF2-40B4-BE49-F238E27FC236}">
                <a16:creationId xmlns:a16="http://schemas.microsoft.com/office/drawing/2014/main" id="{00000000-0008-0000-0500-000050000000}"/>
              </a:ext>
            </a:extLst>
          </xdr:cNvPr>
          <xdr:cNvSpPr/>
        </xdr:nvSpPr>
        <xdr:spPr>
          <a:xfrm>
            <a:off x="4759956" y="2468160"/>
            <a:ext cx="206862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81" name="Rectangle 80">
            <a:extLst>
              <a:ext uri="{FF2B5EF4-FFF2-40B4-BE49-F238E27FC236}">
                <a16:creationId xmlns:a16="http://schemas.microsoft.com/office/drawing/2014/main" id="{00000000-0008-0000-0500-000051000000}"/>
              </a:ext>
            </a:extLst>
          </xdr:cNvPr>
          <xdr:cNvSpPr/>
        </xdr:nvSpPr>
        <xdr:spPr>
          <a:xfrm>
            <a:off x="4376577" y="2275285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82" name="Rectangle 81">
            <a:extLst>
              <a:ext uri="{FF2B5EF4-FFF2-40B4-BE49-F238E27FC236}">
                <a16:creationId xmlns:a16="http://schemas.microsoft.com/office/drawing/2014/main" id="{00000000-0008-0000-0500-000052000000}"/>
              </a:ext>
            </a:extLst>
          </xdr:cNvPr>
          <xdr:cNvSpPr/>
        </xdr:nvSpPr>
        <xdr:spPr>
          <a:xfrm>
            <a:off x="4570648" y="2278860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83" name="Rectangle 82">
            <a:extLst>
              <a:ext uri="{FF2B5EF4-FFF2-40B4-BE49-F238E27FC236}">
                <a16:creationId xmlns:a16="http://schemas.microsoft.com/office/drawing/2014/main" id="{00000000-0008-0000-0500-000053000000}"/>
              </a:ext>
            </a:extLst>
          </xdr:cNvPr>
          <xdr:cNvSpPr/>
        </xdr:nvSpPr>
        <xdr:spPr>
          <a:xfrm>
            <a:off x="3961310" y="1877624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84" name="Rectangle 83">
            <a:extLst>
              <a:ext uri="{FF2B5EF4-FFF2-40B4-BE49-F238E27FC236}">
                <a16:creationId xmlns:a16="http://schemas.microsoft.com/office/drawing/2014/main" id="{00000000-0008-0000-0500-000054000000}"/>
              </a:ext>
            </a:extLst>
          </xdr:cNvPr>
          <xdr:cNvSpPr/>
        </xdr:nvSpPr>
        <xdr:spPr>
          <a:xfrm>
            <a:off x="3964885" y="1672839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85" name="Rectangle 84">
            <a:extLst>
              <a:ext uri="{FF2B5EF4-FFF2-40B4-BE49-F238E27FC236}">
                <a16:creationId xmlns:a16="http://schemas.microsoft.com/office/drawing/2014/main" id="{00000000-0008-0000-0500-000055000000}"/>
              </a:ext>
            </a:extLst>
          </xdr:cNvPr>
          <xdr:cNvSpPr/>
        </xdr:nvSpPr>
        <xdr:spPr>
          <a:xfrm>
            <a:off x="4367053" y="2075269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87" name="Rectangle 86">
            <a:extLst>
              <a:ext uri="{FF2B5EF4-FFF2-40B4-BE49-F238E27FC236}">
                <a16:creationId xmlns:a16="http://schemas.microsoft.com/office/drawing/2014/main" id="{00000000-0008-0000-0500-000057000000}"/>
              </a:ext>
            </a:extLst>
          </xdr:cNvPr>
          <xdr:cNvSpPr/>
        </xdr:nvSpPr>
        <xdr:spPr>
          <a:xfrm>
            <a:off x="3176550" y="3254190"/>
            <a:ext cx="392205" cy="393192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4 sq mi</a:t>
            </a:r>
          </a:p>
        </xdr:txBody>
      </xdr:sp>
      <xdr:sp macro="" textlink="">
        <xdr:nvSpPr>
          <xdr:cNvPr id="89" name="Rectangle 88">
            <a:extLst>
              <a:ext uri="{FF2B5EF4-FFF2-40B4-BE49-F238E27FC236}">
                <a16:creationId xmlns:a16="http://schemas.microsoft.com/office/drawing/2014/main" id="{00000000-0008-0000-0500-000059000000}"/>
              </a:ext>
            </a:extLst>
          </xdr:cNvPr>
          <xdr:cNvSpPr/>
        </xdr:nvSpPr>
        <xdr:spPr>
          <a:xfrm>
            <a:off x="4164909" y="1878817"/>
            <a:ext cx="206863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93" name="Rectangle 92">
            <a:extLst>
              <a:ext uri="{FF2B5EF4-FFF2-40B4-BE49-F238E27FC236}">
                <a16:creationId xmlns:a16="http://schemas.microsoft.com/office/drawing/2014/main" id="{00000000-0008-0000-0500-00005D000000}"/>
              </a:ext>
            </a:extLst>
          </xdr:cNvPr>
          <xdr:cNvSpPr/>
        </xdr:nvSpPr>
        <xdr:spPr>
          <a:xfrm>
            <a:off x="2566425" y="2089563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94" name="Rectangle 93">
            <a:extLst>
              <a:ext uri="{FF2B5EF4-FFF2-40B4-BE49-F238E27FC236}">
                <a16:creationId xmlns:a16="http://schemas.microsoft.com/office/drawing/2014/main" id="{00000000-0008-0000-0500-00005E000000}"/>
              </a:ext>
            </a:extLst>
          </xdr:cNvPr>
          <xdr:cNvSpPr/>
        </xdr:nvSpPr>
        <xdr:spPr>
          <a:xfrm>
            <a:off x="2564047" y="2289587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95" name="Rectangle 94">
            <a:extLst>
              <a:ext uri="{FF2B5EF4-FFF2-40B4-BE49-F238E27FC236}">
                <a16:creationId xmlns:a16="http://schemas.microsoft.com/office/drawing/2014/main" id="{00000000-0008-0000-0500-00005F000000}"/>
              </a:ext>
            </a:extLst>
          </xdr:cNvPr>
          <xdr:cNvSpPr/>
        </xdr:nvSpPr>
        <xdr:spPr>
          <a:xfrm>
            <a:off x="2174974" y="1876439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96" name="Rectangle 95">
            <a:extLst>
              <a:ext uri="{FF2B5EF4-FFF2-40B4-BE49-F238E27FC236}">
                <a16:creationId xmlns:a16="http://schemas.microsoft.com/office/drawing/2014/main" id="{00000000-0008-0000-0500-000060000000}"/>
              </a:ext>
            </a:extLst>
          </xdr:cNvPr>
          <xdr:cNvSpPr/>
        </xdr:nvSpPr>
        <xdr:spPr>
          <a:xfrm>
            <a:off x="2172596" y="1677607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98" name="Rectangle 97">
            <a:extLst>
              <a:ext uri="{FF2B5EF4-FFF2-40B4-BE49-F238E27FC236}">
                <a16:creationId xmlns:a16="http://schemas.microsoft.com/office/drawing/2014/main" id="{00000000-0008-0000-0500-000062000000}"/>
              </a:ext>
            </a:extLst>
          </xdr:cNvPr>
          <xdr:cNvSpPr/>
        </xdr:nvSpPr>
        <xdr:spPr>
          <a:xfrm>
            <a:off x="2174479" y="1293150"/>
            <a:ext cx="394204" cy="393192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4 sq mi</a:t>
            </a:r>
          </a:p>
        </xdr:txBody>
      </xdr:sp>
      <xdr:sp macro="" textlink="">
        <xdr:nvSpPr>
          <xdr:cNvPr id="99" name="Rectangle 98">
            <a:extLst>
              <a:ext uri="{FF2B5EF4-FFF2-40B4-BE49-F238E27FC236}">
                <a16:creationId xmlns:a16="http://schemas.microsoft.com/office/drawing/2014/main" id="{00000000-0008-0000-0500-000063000000}"/>
              </a:ext>
            </a:extLst>
          </xdr:cNvPr>
          <xdr:cNvSpPr/>
        </xdr:nvSpPr>
        <xdr:spPr>
          <a:xfrm>
            <a:off x="3171701" y="1296725"/>
            <a:ext cx="388510" cy="393192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4 sq mi</a:t>
            </a:r>
          </a:p>
        </xdr:txBody>
      </xdr:sp>
      <xdr:sp macro="" textlink="">
        <xdr:nvSpPr>
          <xdr:cNvPr id="100" name="Rectangle 99">
            <a:extLst>
              <a:ext uri="{FF2B5EF4-FFF2-40B4-BE49-F238E27FC236}">
                <a16:creationId xmlns:a16="http://schemas.microsoft.com/office/drawing/2014/main" id="{00000000-0008-0000-0500-000064000000}"/>
              </a:ext>
            </a:extLst>
          </xdr:cNvPr>
          <xdr:cNvSpPr/>
        </xdr:nvSpPr>
        <xdr:spPr>
          <a:xfrm>
            <a:off x="2565240" y="1475198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101" name="Rectangle 100">
            <a:extLst>
              <a:ext uri="{FF2B5EF4-FFF2-40B4-BE49-F238E27FC236}">
                <a16:creationId xmlns:a16="http://schemas.microsoft.com/office/drawing/2014/main" id="{00000000-0008-0000-0500-000065000000}"/>
              </a:ext>
            </a:extLst>
          </xdr:cNvPr>
          <xdr:cNvSpPr/>
        </xdr:nvSpPr>
        <xdr:spPr>
          <a:xfrm>
            <a:off x="2771217" y="1484726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102" name="Rectangle 101">
            <a:extLst>
              <a:ext uri="{FF2B5EF4-FFF2-40B4-BE49-F238E27FC236}">
                <a16:creationId xmlns:a16="http://schemas.microsoft.com/office/drawing/2014/main" id="{00000000-0008-0000-0500-000066000000}"/>
              </a:ext>
            </a:extLst>
          </xdr:cNvPr>
          <xdr:cNvSpPr/>
        </xdr:nvSpPr>
        <xdr:spPr>
          <a:xfrm>
            <a:off x="2977194" y="1482348"/>
            <a:ext cx="206862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103" name="Rectangle 102">
            <a:extLst>
              <a:ext uri="{FF2B5EF4-FFF2-40B4-BE49-F238E27FC236}">
                <a16:creationId xmlns:a16="http://schemas.microsoft.com/office/drawing/2014/main" id="{00000000-0008-0000-0500-000067000000}"/>
              </a:ext>
            </a:extLst>
          </xdr:cNvPr>
          <xdr:cNvSpPr/>
        </xdr:nvSpPr>
        <xdr:spPr>
          <a:xfrm>
            <a:off x="3562723" y="1484726"/>
            <a:ext cx="206862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104" name="Rectangle 103">
            <a:extLst>
              <a:ext uri="{FF2B5EF4-FFF2-40B4-BE49-F238E27FC236}">
                <a16:creationId xmlns:a16="http://schemas.microsoft.com/office/drawing/2014/main" id="{00000000-0008-0000-0500-000068000000}"/>
              </a:ext>
            </a:extLst>
          </xdr:cNvPr>
          <xdr:cNvSpPr/>
        </xdr:nvSpPr>
        <xdr:spPr>
          <a:xfrm>
            <a:off x="3768441" y="1482348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105" name="Rectangle 104">
            <a:extLst>
              <a:ext uri="{FF2B5EF4-FFF2-40B4-BE49-F238E27FC236}">
                <a16:creationId xmlns:a16="http://schemas.microsoft.com/office/drawing/2014/main" id="{00000000-0008-0000-0500-000069000000}"/>
              </a:ext>
            </a:extLst>
          </xdr:cNvPr>
          <xdr:cNvSpPr/>
        </xdr:nvSpPr>
        <xdr:spPr>
          <a:xfrm>
            <a:off x="3557960" y="3652857"/>
            <a:ext cx="206862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106" name="Rectangle 105">
            <a:extLst>
              <a:ext uri="{FF2B5EF4-FFF2-40B4-BE49-F238E27FC236}">
                <a16:creationId xmlns:a16="http://schemas.microsoft.com/office/drawing/2014/main" id="{00000000-0008-0000-0500-00006A000000}"/>
              </a:ext>
            </a:extLst>
          </xdr:cNvPr>
          <xdr:cNvSpPr/>
        </xdr:nvSpPr>
        <xdr:spPr>
          <a:xfrm>
            <a:off x="5177728" y="3048224"/>
            <a:ext cx="206862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107" name="Rectangle 106">
            <a:extLst>
              <a:ext uri="{FF2B5EF4-FFF2-40B4-BE49-F238E27FC236}">
                <a16:creationId xmlns:a16="http://schemas.microsoft.com/office/drawing/2014/main" id="{00000000-0008-0000-0500-00006B000000}"/>
              </a:ext>
            </a:extLst>
          </xdr:cNvPr>
          <xdr:cNvSpPr/>
        </xdr:nvSpPr>
        <xdr:spPr>
          <a:xfrm>
            <a:off x="7362953" y="4241869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108" name="Rectangle 107">
            <a:extLst>
              <a:ext uri="{FF2B5EF4-FFF2-40B4-BE49-F238E27FC236}">
                <a16:creationId xmlns:a16="http://schemas.microsoft.com/office/drawing/2014/main" id="{00000000-0008-0000-0500-00006C000000}"/>
              </a:ext>
            </a:extLst>
          </xdr:cNvPr>
          <xdr:cNvSpPr/>
        </xdr:nvSpPr>
        <xdr:spPr>
          <a:xfrm>
            <a:off x="7556748" y="5818879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109" name="Rectangle 108">
            <a:extLst>
              <a:ext uri="{FF2B5EF4-FFF2-40B4-BE49-F238E27FC236}">
                <a16:creationId xmlns:a16="http://schemas.microsoft.com/office/drawing/2014/main" id="{00000000-0008-0000-0500-00006D000000}"/>
              </a:ext>
            </a:extLst>
          </xdr:cNvPr>
          <xdr:cNvSpPr/>
        </xdr:nvSpPr>
        <xdr:spPr>
          <a:xfrm>
            <a:off x="5563953" y="6410260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110" name="Rectangle 109">
            <a:extLst>
              <a:ext uri="{FF2B5EF4-FFF2-40B4-BE49-F238E27FC236}">
                <a16:creationId xmlns:a16="http://schemas.microsoft.com/office/drawing/2014/main" id="{00000000-0008-0000-0500-00006E000000}"/>
              </a:ext>
            </a:extLst>
          </xdr:cNvPr>
          <xdr:cNvSpPr/>
        </xdr:nvSpPr>
        <xdr:spPr>
          <a:xfrm>
            <a:off x="2559029" y="1276416"/>
            <a:ext cx="201168" cy="201168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1</a:t>
            </a:r>
          </a:p>
        </xdr:txBody>
      </xdr:sp>
      <xdr:sp macro="" textlink="">
        <xdr:nvSpPr>
          <xdr:cNvPr id="112" name="Rectangle 111">
            <a:extLst>
              <a:ext uri="{FF2B5EF4-FFF2-40B4-BE49-F238E27FC236}">
                <a16:creationId xmlns:a16="http://schemas.microsoft.com/office/drawing/2014/main" id="{00000000-0008-0000-0500-000070000000}"/>
              </a:ext>
            </a:extLst>
          </xdr:cNvPr>
          <xdr:cNvSpPr/>
        </xdr:nvSpPr>
        <xdr:spPr>
          <a:xfrm>
            <a:off x="2779915" y="2867237"/>
            <a:ext cx="392205" cy="393192"/>
          </a:xfrm>
          <a:prstGeom prst="rect">
            <a:avLst/>
          </a:prstGeom>
          <a:grp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rgbClr val="FF0000"/>
                </a:solidFill>
              </a:rPr>
              <a:t>4 sq mi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saltonsea.com/get-informed/facts/" TargetMode="External"/><Relationship Id="rId2" Type="http://schemas.openxmlformats.org/officeDocument/2006/relationships/hyperlink" Target="https://saltonsea.com/get-informed/facts/" TargetMode="External"/><Relationship Id="rId1" Type="http://schemas.openxmlformats.org/officeDocument/2006/relationships/hyperlink" Target="https://saltonsea.com/get-informed/facts/" TargetMode="External"/><Relationship Id="rId6" Type="http://schemas.openxmlformats.org/officeDocument/2006/relationships/hyperlink" Target="https://www.iid.com/home/showdocument?id=17299" TargetMode="External"/><Relationship Id="rId5" Type="http://schemas.openxmlformats.org/officeDocument/2006/relationships/hyperlink" Target="https://www.iid.com/home/showdocument?id=17299" TargetMode="External"/><Relationship Id="rId4" Type="http://schemas.openxmlformats.org/officeDocument/2006/relationships/hyperlink" Target="https://www.iid.com/home/showdocument?id=1729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2"/>
  <sheetViews>
    <sheetView workbookViewId="0">
      <selection activeCell="G2" sqref="G2"/>
    </sheetView>
  </sheetViews>
  <sheetFormatPr defaultRowHeight="15"/>
  <cols>
    <col min="1" max="1" width="23.7109375" bestFit="1" customWidth="1"/>
    <col min="2" max="2" width="21.140625" bestFit="1" customWidth="1"/>
    <col min="7" max="7" width="45.7109375" customWidth="1"/>
    <col min="8" max="9" width="17" customWidth="1"/>
  </cols>
  <sheetData>
    <row r="1" spans="1:9">
      <c r="A1" s="61" t="s">
        <v>0</v>
      </c>
      <c r="G1" s="61" t="s">
        <v>1</v>
      </c>
    </row>
    <row r="2" spans="1:9" ht="15.75" thickBot="1"/>
    <row r="3" spans="1:9" ht="16.5" thickTop="1" thickBot="1">
      <c r="A3" t="s">
        <v>2</v>
      </c>
      <c r="B3" t="s">
        <v>3</v>
      </c>
      <c r="G3" s="133" t="s">
        <v>4</v>
      </c>
      <c r="H3" s="136" t="s">
        <v>5</v>
      </c>
      <c r="I3" s="137"/>
    </row>
    <row r="4" spans="1:9" ht="15.75" thickBot="1">
      <c r="A4" s="84" t="s">
        <v>6</v>
      </c>
      <c r="B4" s="85">
        <v>140</v>
      </c>
      <c r="G4" s="134"/>
      <c r="H4" s="138" t="s">
        <v>7</v>
      </c>
      <c r="I4" s="139"/>
    </row>
    <row r="5" spans="1:9" ht="15.75" thickBot="1">
      <c r="A5" s="84" t="s">
        <v>8</v>
      </c>
      <c r="B5" s="85">
        <v>140</v>
      </c>
      <c r="G5" s="135"/>
      <c r="H5" s="88" t="s">
        <v>9</v>
      </c>
      <c r="I5" s="89" t="s">
        <v>10</v>
      </c>
    </row>
    <row r="6" spans="1:9" ht="24.75" thickBot="1">
      <c r="A6" s="84" t="s">
        <v>11</v>
      </c>
      <c r="B6" s="85">
        <v>135</v>
      </c>
      <c r="G6" s="84" t="s">
        <v>12</v>
      </c>
      <c r="H6" s="83" t="s">
        <v>13</v>
      </c>
      <c r="I6" s="85" t="s">
        <v>14</v>
      </c>
    </row>
    <row r="7" spans="1:9" ht="15.75" thickBot="1">
      <c r="A7" s="84" t="s">
        <v>15</v>
      </c>
      <c r="B7" s="85">
        <v>135</v>
      </c>
      <c r="G7" s="84" t="s">
        <v>16</v>
      </c>
      <c r="H7" s="83" t="s">
        <v>17</v>
      </c>
      <c r="I7" s="85" t="s">
        <v>18</v>
      </c>
    </row>
    <row r="8" spans="1:9" ht="26.25" thickBot="1">
      <c r="A8" s="84" t="s">
        <v>19</v>
      </c>
      <c r="B8" s="85">
        <v>95</v>
      </c>
      <c r="G8" s="84" t="s">
        <v>20</v>
      </c>
      <c r="H8" s="83" t="s">
        <v>21</v>
      </c>
      <c r="I8" s="85" t="s">
        <v>22</v>
      </c>
    </row>
    <row r="9" spans="1:9" ht="26.25" thickBot="1">
      <c r="A9" s="84" t="s">
        <v>23</v>
      </c>
      <c r="B9" s="85">
        <v>120</v>
      </c>
      <c r="G9" s="84" t="s">
        <v>24</v>
      </c>
      <c r="H9" s="83" t="s">
        <v>25</v>
      </c>
      <c r="I9" s="85" t="s">
        <v>26</v>
      </c>
    </row>
    <row r="10" spans="1:9" ht="26.25" thickBot="1">
      <c r="A10" s="84" t="s">
        <v>27</v>
      </c>
      <c r="B10" s="85">
        <v>140</v>
      </c>
      <c r="G10" s="84" t="s">
        <v>28</v>
      </c>
      <c r="H10" s="83" t="s">
        <v>29</v>
      </c>
      <c r="I10" s="85" t="s">
        <v>30</v>
      </c>
    </row>
    <row r="11" spans="1:9" ht="24.75" thickBot="1">
      <c r="A11" s="84" t="s">
        <v>31</v>
      </c>
      <c r="B11" s="85">
        <v>120</v>
      </c>
      <c r="G11" s="84" t="s">
        <v>32</v>
      </c>
      <c r="H11" s="83" t="s">
        <v>33</v>
      </c>
      <c r="I11" s="85" t="s">
        <v>34</v>
      </c>
    </row>
    <row r="12" spans="1:9" ht="15.75" thickBot="1">
      <c r="A12" s="84" t="s">
        <v>35</v>
      </c>
      <c r="B12" s="85">
        <v>115</v>
      </c>
      <c r="G12" s="84" t="s">
        <v>36</v>
      </c>
      <c r="H12" s="83">
        <v>1.4999999999999999E-2</v>
      </c>
      <c r="I12" s="85" t="s">
        <v>37</v>
      </c>
    </row>
    <row r="13" spans="1:9" ht="15.75" thickBot="1">
      <c r="A13" s="84" t="s">
        <v>38</v>
      </c>
      <c r="B13" s="85">
        <v>135</v>
      </c>
      <c r="G13" s="84" t="s">
        <v>39</v>
      </c>
      <c r="H13" s="83">
        <v>4.4999999999999998E-2</v>
      </c>
      <c r="I13" s="85" t="s">
        <v>40</v>
      </c>
    </row>
    <row r="14" spans="1:9" ht="15.75" thickBot="1">
      <c r="A14" s="84" t="s">
        <v>41</v>
      </c>
      <c r="B14" s="85">
        <v>60</v>
      </c>
      <c r="G14" s="84" t="s">
        <v>42</v>
      </c>
      <c r="H14" s="83">
        <v>0.15</v>
      </c>
      <c r="I14" s="85" t="s">
        <v>43</v>
      </c>
    </row>
    <row r="15" spans="1:9" ht="15.75" thickBot="1">
      <c r="A15" s="84" t="s">
        <v>44</v>
      </c>
      <c r="B15" s="85">
        <v>140</v>
      </c>
      <c r="G15" s="84" t="s">
        <v>45</v>
      </c>
      <c r="H15" s="83" t="s">
        <v>46</v>
      </c>
      <c r="I15" s="85" t="s">
        <v>47</v>
      </c>
    </row>
    <row r="16" spans="1:9" ht="15.75" thickBot="1">
      <c r="A16" s="84" t="s">
        <v>48</v>
      </c>
      <c r="B16" s="85">
        <v>140</v>
      </c>
      <c r="G16" s="84" t="s">
        <v>49</v>
      </c>
      <c r="H16" s="83" t="s">
        <v>50</v>
      </c>
      <c r="I16" s="85" t="s">
        <v>51</v>
      </c>
    </row>
    <row r="17" spans="1:9" ht="15.75" thickBot="1">
      <c r="A17" s="84" t="s">
        <v>52</v>
      </c>
      <c r="B17" s="85">
        <v>150</v>
      </c>
      <c r="G17" s="84" t="s">
        <v>53</v>
      </c>
      <c r="H17" s="83" t="s">
        <v>54</v>
      </c>
      <c r="I17" s="85" t="s">
        <v>55</v>
      </c>
    </row>
    <row r="18" spans="1:9" ht="15.75" thickBot="1">
      <c r="A18" s="84" t="s">
        <v>56</v>
      </c>
      <c r="B18" s="85">
        <v>120</v>
      </c>
      <c r="G18" s="84" t="s">
        <v>57</v>
      </c>
      <c r="H18" s="83" t="s">
        <v>58</v>
      </c>
      <c r="I18" s="85" t="s">
        <v>59</v>
      </c>
    </row>
    <row r="19" spans="1:9" ht="15.75" thickBot="1">
      <c r="A19" s="84" t="s">
        <v>60</v>
      </c>
      <c r="B19" s="85">
        <v>130</v>
      </c>
      <c r="G19" s="84" t="s">
        <v>61</v>
      </c>
      <c r="H19" s="83" t="s">
        <v>62</v>
      </c>
      <c r="I19" s="85" t="s">
        <v>63</v>
      </c>
    </row>
    <row r="20" spans="1:9" ht="24.75" thickBot="1">
      <c r="A20" s="84" t="s">
        <v>64</v>
      </c>
      <c r="B20" s="85">
        <v>140</v>
      </c>
      <c r="G20" s="84" t="s">
        <v>65</v>
      </c>
      <c r="H20" s="83">
        <v>0.3</v>
      </c>
      <c r="I20" s="85" t="s">
        <v>66</v>
      </c>
    </row>
    <row r="21" spans="1:9" ht="15.75" thickBot="1">
      <c r="A21" s="84" t="s">
        <v>67</v>
      </c>
      <c r="B21" s="85">
        <v>140</v>
      </c>
      <c r="G21" s="84" t="s">
        <v>68</v>
      </c>
      <c r="H21" s="83" t="s">
        <v>69</v>
      </c>
      <c r="I21" s="85" t="s">
        <v>70</v>
      </c>
    </row>
    <row r="22" spans="1:9" ht="15.75" thickBot="1">
      <c r="A22" s="84" t="s">
        <v>71</v>
      </c>
      <c r="B22" s="85">
        <v>140</v>
      </c>
      <c r="G22" s="84" t="s">
        <v>72</v>
      </c>
      <c r="H22" s="83" t="s">
        <v>73</v>
      </c>
      <c r="I22" s="85" t="s">
        <v>74</v>
      </c>
    </row>
    <row r="23" spans="1:9" ht="24.75" thickBot="1">
      <c r="A23" s="84" t="s">
        <v>75</v>
      </c>
      <c r="B23" s="85">
        <v>150</v>
      </c>
      <c r="G23" s="84" t="s">
        <v>76</v>
      </c>
      <c r="H23" s="83" t="s">
        <v>77</v>
      </c>
      <c r="I23" s="85"/>
    </row>
    <row r="24" spans="1:9" ht="15.75" thickBot="1">
      <c r="A24" s="84" t="s">
        <v>78</v>
      </c>
      <c r="B24" s="85">
        <v>140</v>
      </c>
      <c r="G24" s="84" t="s">
        <v>79</v>
      </c>
      <c r="H24" s="83" t="s">
        <v>77</v>
      </c>
      <c r="I24" s="85" t="s">
        <v>80</v>
      </c>
    </row>
    <row r="25" spans="1:9" ht="15.75" thickBot="1">
      <c r="A25" s="84" t="s">
        <v>81</v>
      </c>
      <c r="B25" s="85">
        <v>145</v>
      </c>
      <c r="G25" s="86" t="s">
        <v>82</v>
      </c>
      <c r="H25" s="90">
        <v>5</v>
      </c>
      <c r="I25" s="87" t="s">
        <v>83</v>
      </c>
    </row>
    <row r="26" spans="1:9" ht="15.75" thickBot="1">
      <c r="A26" s="84" t="s">
        <v>84</v>
      </c>
      <c r="B26" s="85">
        <v>60</v>
      </c>
    </row>
    <row r="27" spans="1:9" ht="24.75" thickBot="1">
      <c r="A27" s="84" t="s">
        <v>85</v>
      </c>
      <c r="B27" s="85">
        <v>100</v>
      </c>
    </row>
    <row r="28" spans="1:9" ht="24.75" thickBot="1">
      <c r="A28" s="84" t="s">
        <v>86</v>
      </c>
      <c r="B28" s="85">
        <v>100</v>
      </c>
    </row>
    <row r="29" spans="1:9" ht="15.75" thickBot="1">
      <c r="A29" s="84" t="s">
        <v>87</v>
      </c>
      <c r="B29" s="85">
        <v>130</v>
      </c>
    </row>
    <row r="30" spans="1:9" ht="15.75" thickBot="1">
      <c r="A30" s="84" t="s">
        <v>88</v>
      </c>
      <c r="B30" s="85">
        <v>110</v>
      </c>
    </row>
    <row r="31" spans="1:9" ht="15.75" thickBot="1">
      <c r="A31" s="84" t="s">
        <v>89</v>
      </c>
      <c r="B31" s="85">
        <v>100</v>
      </c>
    </row>
    <row r="32" spans="1:9" ht="24.75" thickBot="1">
      <c r="A32" s="84" t="s">
        <v>90</v>
      </c>
      <c r="B32" s="85">
        <v>120</v>
      </c>
    </row>
  </sheetData>
  <mergeCells count="3">
    <mergeCell ref="G3:G5"/>
    <mergeCell ref="H3:I3"/>
    <mergeCell ref="H4:I4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6:Q50"/>
  <sheetViews>
    <sheetView showGridLines="0" showRowColHeaders="0" tabSelected="1" zoomScale="70" zoomScaleNormal="70" workbookViewId="0">
      <selection activeCell="C9" sqref="C9:N17"/>
    </sheetView>
  </sheetViews>
  <sheetFormatPr defaultRowHeight="15"/>
  <sheetData>
    <row r="6" spans="3:14" s="109" customFormat="1"/>
    <row r="7" spans="3:14" s="109" customFormat="1"/>
    <row r="8" spans="3:14" s="109" customFormat="1"/>
    <row r="9" spans="3:14" s="109" customFormat="1">
      <c r="C9" s="140" t="s">
        <v>91</v>
      </c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</row>
    <row r="10" spans="3:14" s="109" customFormat="1">
      <c r="C10" s="14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</row>
    <row r="11" spans="3:14" s="109" customFormat="1"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</row>
    <row r="12" spans="3:14" s="109" customFormat="1"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</row>
    <row r="13" spans="3:14" s="109" customFormat="1">
      <c r="C13" s="14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</row>
    <row r="14" spans="3:14" s="109" customFormat="1">
      <c r="C14" s="14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</row>
    <row r="15" spans="3:14" s="109" customFormat="1"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</row>
    <row r="16" spans="3:14" s="109" customFormat="1">
      <c r="C16" s="14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</row>
    <row r="17" spans="3:16" s="109" customFormat="1"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</row>
    <row r="18" spans="3:16" s="127" customFormat="1"/>
    <row r="19" spans="3:16" s="127" customFormat="1">
      <c r="C19" s="141" t="s">
        <v>92</v>
      </c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</row>
    <row r="20" spans="3:16" s="126" customFormat="1"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</row>
    <row r="21" spans="3:16" s="126" customFormat="1"/>
    <row r="22" spans="3:16" s="109" customFormat="1"/>
    <row r="24" spans="3:16">
      <c r="C24" s="128" t="s">
        <v>93</v>
      </c>
    </row>
    <row r="25" spans="3:16">
      <c r="C25" s="129"/>
    </row>
    <row r="26" spans="3:16">
      <c r="C26" s="129" t="s">
        <v>94</v>
      </c>
    </row>
    <row r="28" spans="3:16">
      <c r="C28" s="5" t="s">
        <v>95</v>
      </c>
    </row>
    <row r="47" spans="15:16">
      <c r="O47" s="129" t="s">
        <v>96</v>
      </c>
      <c r="P47" s="3"/>
    </row>
    <row r="50" spans="17:17">
      <c r="Q50" t="s">
        <v>97</v>
      </c>
    </row>
  </sheetData>
  <mergeCells count="2">
    <mergeCell ref="C9:N17"/>
    <mergeCell ref="C19:P20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J92"/>
  <sheetViews>
    <sheetView showGridLines="0" zoomScale="85" zoomScaleNormal="85" workbookViewId="0">
      <selection activeCell="F80" sqref="F80"/>
    </sheetView>
  </sheetViews>
  <sheetFormatPr defaultRowHeight="15" outlineLevelRow="1"/>
  <cols>
    <col min="1" max="1" width="5.42578125" customWidth="1"/>
    <col min="2" max="2" width="42.28515625" customWidth="1"/>
    <col min="3" max="3" width="5.42578125" customWidth="1"/>
    <col min="4" max="4" width="37.42578125" customWidth="1"/>
    <col min="5" max="6" width="14.140625" customWidth="1"/>
    <col min="7" max="7" width="30" customWidth="1"/>
    <col min="8" max="8" width="15.28515625" bestFit="1" customWidth="1"/>
    <col min="9" max="9" width="16.7109375" customWidth="1"/>
    <col min="10" max="10" width="17" customWidth="1"/>
    <col min="18" max="19" width="11.5703125" bestFit="1" customWidth="1"/>
  </cols>
  <sheetData>
    <row r="2" spans="2:10">
      <c r="D2" s="145" t="s">
        <v>98</v>
      </c>
      <c r="E2" s="111" t="s">
        <v>99</v>
      </c>
      <c r="F2" s="111"/>
      <c r="G2" s="112"/>
    </row>
    <row r="3" spans="2:10">
      <c r="D3" s="146"/>
      <c r="E3" s="115" t="s">
        <v>100</v>
      </c>
      <c r="F3" s="115"/>
      <c r="G3" s="116"/>
    </row>
    <row r="4" spans="2:10">
      <c r="D4" s="146"/>
      <c r="E4" s="120" t="s">
        <v>101</v>
      </c>
      <c r="F4" s="120"/>
      <c r="G4" s="121"/>
    </row>
    <row r="5" spans="2:10">
      <c r="D5" s="147"/>
      <c r="E5" s="119" t="s">
        <v>102</v>
      </c>
      <c r="F5" s="117"/>
      <c r="G5" s="118"/>
    </row>
    <row r="7" spans="2:10" ht="18.75">
      <c r="B7" s="108" t="s">
        <v>103</v>
      </c>
      <c r="D7" s="17" t="s">
        <v>104</v>
      </c>
      <c r="E7" s="18"/>
      <c r="F7" s="18"/>
      <c r="G7" s="18"/>
      <c r="H7" s="18"/>
      <c r="I7" s="18"/>
      <c r="J7" s="18"/>
    </row>
    <row r="8" spans="2:10" outlineLevel="1">
      <c r="B8" s="109"/>
    </row>
    <row r="9" spans="2:10" outlineLevel="1">
      <c r="B9" s="109"/>
      <c r="E9" s="10" t="s">
        <v>105</v>
      </c>
      <c r="F9" s="10" t="s">
        <v>106</v>
      </c>
      <c r="G9" s="10" t="s">
        <v>107</v>
      </c>
      <c r="H9" s="10" t="s">
        <v>108</v>
      </c>
      <c r="I9" s="10" t="s">
        <v>109</v>
      </c>
      <c r="J9" s="10" t="s">
        <v>110</v>
      </c>
    </row>
    <row r="10" spans="2:10" outlineLevel="1">
      <c r="B10" s="109"/>
      <c r="D10" s="4" t="s">
        <v>111</v>
      </c>
      <c r="E10" s="11">
        <f>G10*1233.48</f>
        <v>1603524000</v>
      </c>
      <c r="F10" s="12">
        <f>E10/365/24/60/60</f>
        <v>50.847412480974135</v>
      </c>
      <c r="G10" s="2">
        <v>1300000</v>
      </c>
      <c r="H10" s="16">
        <f>G10*43559.9</f>
        <v>56627870000</v>
      </c>
      <c r="I10" s="11">
        <f>H10/365/24/60/60</f>
        <v>1795.6579781836631</v>
      </c>
      <c r="J10" s="11">
        <f>I10*7.4</f>
        <v>13287.869038559107</v>
      </c>
    </row>
    <row r="11" spans="2:10" outlineLevel="1">
      <c r="B11" s="109"/>
      <c r="D11" s="22" t="s">
        <v>112</v>
      </c>
      <c r="E11" s="23">
        <f>G11*1233.48</f>
        <v>902907360</v>
      </c>
      <c r="F11" s="24">
        <f>E11/365/24/60/60</f>
        <v>28.631004566210045</v>
      </c>
      <c r="G11" s="38">
        <v>732000</v>
      </c>
      <c r="H11" s="71">
        <f>E11*35.3147</f>
        <v>31885902546.192001</v>
      </c>
      <c r="I11" s="23">
        <f>H11/365/24/60/60</f>
        <v>1011.095336954338</v>
      </c>
      <c r="J11" s="23">
        <f>I11*7.4</f>
        <v>7482.1054934621015</v>
      </c>
    </row>
    <row r="12" spans="2:10" outlineLevel="1">
      <c r="B12" s="109"/>
      <c r="D12" s="66" t="s">
        <v>113</v>
      </c>
      <c r="E12" s="67">
        <f>'System Assumptions'!E10-'System Assumptions'!E11</f>
        <v>700616640</v>
      </c>
      <c r="F12" s="68">
        <f>'System Assumptions'!F10-'System Assumptions'!F11</f>
        <v>22.21640791476409</v>
      </c>
      <c r="G12" s="67">
        <f>'System Assumptions'!G10-'System Assumptions'!G11</f>
        <v>568000</v>
      </c>
      <c r="H12" s="69">
        <f>'System Assumptions'!H10-'System Assumptions'!H11</f>
        <v>24741967453.807999</v>
      </c>
      <c r="I12" s="70">
        <f>'System Assumptions'!I10-'System Assumptions'!I11</f>
        <v>784.5626412293251</v>
      </c>
      <c r="J12" s="67">
        <f>I12*7.4</f>
        <v>5805.7635450970056</v>
      </c>
    </row>
    <row r="13" spans="2:10" outlineLevel="1">
      <c r="B13" s="109"/>
    </row>
    <row r="14" spans="2:10" outlineLevel="1">
      <c r="B14" s="109"/>
      <c r="D14" s="4"/>
      <c r="E14" s="10" t="s">
        <v>114</v>
      </c>
      <c r="F14" s="10" t="s">
        <v>115</v>
      </c>
      <c r="G14" s="10" t="s">
        <v>116</v>
      </c>
      <c r="H14" s="10" t="s">
        <v>117</v>
      </c>
    </row>
    <row r="15" spans="2:10" outlineLevel="1">
      <c r="B15" s="109"/>
      <c r="D15" s="4" t="s">
        <v>118</v>
      </c>
      <c r="E15" s="11">
        <f>G15*2.58999</f>
        <v>888.36656999999991</v>
      </c>
      <c r="F15" s="14">
        <f>E15*(1000^2)</f>
        <v>888366569.99999988</v>
      </c>
      <c r="G15" s="2">
        <v>343</v>
      </c>
      <c r="H15" s="13">
        <f>G15*(5280^2)</f>
        <v>9562291200</v>
      </c>
    </row>
    <row r="16" spans="2:10" outlineLevel="1">
      <c r="B16" s="109"/>
      <c r="D16" s="4" t="s">
        <v>119</v>
      </c>
      <c r="E16" s="11">
        <f>G16*2.58999</f>
        <v>906.49649999999997</v>
      </c>
      <c r="F16" s="14">
        <f>E16*(1000^2)</f>
        <v>906496500</v>
      </c>
      <c r="G16" s="2">
        <v>350</v>
      </c>
      <c r="H16" s="13">
        <f>G16*(5280^2)</f>
        <v>9757440000</v>
      </c>
    </row>
    <row r="17" spans="2:10" outlineLevel="1">
      <c r="B17" s="109"/>
      <c r="D17" s="4"/>
      <c r="E17" s="11"/>
      <c r="F17" s="14"/>
      <c r="H17" s="13"/>
    </row>
    <row r="18" spans="2:10" outlineLevel="1">
      <c r="B18" s="109"/>
      <c r="E18" s="23" t="s">
        <v>120</v>
      </c>
      <c r="F18" s="25" t="s">
        <v>121</v>
      </c>
    </row>
    <row r="19" spans="2:10" outlineLevel="1">
      <c r="B19" s="109"/>
      <c r="D19" s="4" t="s">
        <v>122</v>
      </c>
      <c r="E19" s="31">
        <f>F19/1000</f>
        <v>7.4999999999999997E-2</v>
      </c>
      <c r="F19" s="32">
        <v>75</v>
      </c>
    </row>
    <row r="20" spans="2:10" outlineLevel="1">
      <c r="B20" s="109"/>
      <c r="D20" s="4" t="s">
        <v>123</v>
      </c>
      <c r="E20" s="31">
        <f>F20/1000</f>
        <v>3.67733972176282E-3</v>
      </c>
      <c r="F20" s="32">
        <v>3.6773397217628201</v>
      </c>
    </row>
    <row r="21" spans="2:10" outlineLevel="1">
      <c r="B21" s="109"/>
      <c r="D21" s="4" t="s">
        <v>124</v>
      </c>
      <c r="E21" s="31">
        <f>F21/1000</f>
        <v>3.5000000000000003E-2</v>
      </c>
      <c r="F21" s="32">
        <v>35</v>
      </c>
    </row>
    <row r="22" spans="2:10" outlineLevel="1">
      <c r="B22" s="109"/>
      <c r="D22" s="4"/>
    </row>
    <row r="23" spans="2:10" outlineLevel="1">
      <c r="B23" s="109"/>
      <c r="D23" s="4"/>
      <c r="F23" s="25" t="s">
        <v>125</v>
      </c>
    </row>
    <row r="24" spans="2:10" outlineLevel="1">
      <c r="B24" s="109"/>
      <c r="D24" s="4" t="s">
        <v>126</v>
      </c>
      <c r="E24" s="31"/>
      <c r="F24" s="32">
        <f>1000+F21</f>
        <v>1035</v>
      </c>
    </row>
    <row r="25" spans="2:10" outlineLevel="1">
      <c r="B25" s="109"/>
      <c r="D25" s="4" t="s">
        <v>127</v>
      </c>
      <c r="E25" s="31"/>
      <c r="F25" s="32">
        <f>1000+F19</f>
        <v>1075</v>
      </c>
    </row>
    <row r="26" spans="2:10" outlineLevel="1">
      <c r="B26" s="109"/>
      <c r="D26" s="4"/>
    </row>
    <row r="27" spans="2:10" outlineLevel="1">
      <c r="B27" s="109"/>
      <c r="E27" s="10" t="s">
        <v>128</v>
      </c>
      <c r="F27" s="10" t="s">
        <v>129</v>
      </c>
    </row>
    <row r="28" spans="2:10" outlineLevel="1">
      <c r="B28" s="109"/>
      <c r="D28" s="4" t="s">
        <v>130</v>
      </c>
      <c r="E28" s="11">
        <f>F28*0.3048</f>
        <v>9.7536000000000005</v>
      </c>
      <c r="F28" s="2">
        <v>32</v>
      </c>
    </row>
    <row r="29" spans="2:10" outlineLevel="1">
      <c r="B29" s="109"/>
      <c r="D29" t="s">
        <v>131</v>
      </c>
      <c r="E29" s="67">
        <f>F29*0.3048</f>
        <v>15.24</v>
      </c>
      <c r="F29" s="2">
        <v>50</v>
      </c>
    </row>
    <row r="30" spans="2:10" outlineLevel="1">
      <c r="B30" s="109"/>
      <c r="D30" s="4" t="s">
        <v>132</v>
      </c>
      <c r="E30" s="2">
        <v>70</v>
      </c>
      <c r="F30" s="11">
        <f>E30/0.3048</f>
        <v>229.65879265091863</v>
      </c>
    </row>
    <row r="31" spans="2:10" outlineLevel="1">
      <c r="B31" s="109"/>
    </row>
    <row r="32" spans="2:10" outlineLevel="1">
      <c r="B32" s="109"/>
      <c r="E32" s="10" t="s">
        <v>133</v>
      </c>
      <c r="F32" s="10" t="s">
        <v>134</v>
      </c>
      <c r="G32" s="10" t="s">
        <v>135</v>
      </c>
      <c r="H32" s="1" t="s">
        <v>136</v>
      </c>
      <c r="I32" s="10" t="s">
        <v>137</v>
      </c>
      <c r="J32" s="10" t="s">
        <v>138</v>
      </c>
    </row>
    <row r="33" spans="2:10" outlineLevel="1">
      <c r="B33" s="109"/>
      <c r="D33" s="4" t="s">
        <v>139</v>
      </c>
      <c r="E33" s="14">
        <f>F33/1000000000</f>
        <v>8.664772177151999</v>
      </c>
      <c r="F33" s="14">
        <f>'System Assumptions'!F15*'System Assumptions'!E28</f>
        <v>8664772177.1519985</v>
      </c>
      <c r="G33" s="14">
        <f>F33*1000/1000000</f>
        <v>8664772.1771519985</v>
      </c>
      <c r="H33" s="14">
        <f>F33*0.000810714</f>
        <v>7024652.1108276052</v>
      </c>
      <c r="I33" s="14">
        <f>H15*F28</f>
        <v>305993318400</v>
      </c>
      <c r="J33" s="14">
        <f>G33*0.264172</f>
        <v>2288990.195582598</v>
      </c>
    </row>
    <row r="34" spans="2:10" outlineLevel="1">
      <c r="B34" s="109"/>
      <c r="D34" s="4" t="s">
        <v>140</v>
      </c>
      <c r="E34" s="14">
        <f>F34/1000000000</f>
        <v>13.81500666</v>
      </c>
      <c r="F34" s="14">
        <f>F16*E29</f>
        <v>13815006660</v>
      </c>
      <c r="G34" s="14">
        <f>F34*1000/1000000</f>
        <v>13815006.66</v>
      </c>
      <c r="H34" s="14">
        <f>F34*0.000810714</f>
        <v>11200019.30935524</v>
      </c>
      <c r="I34" s="14">
        <f>H16*F29</f>
        <v>487872000000</v>
      </c>
      <c r="J34" s="14">
        <f>G34*0.264172</f>
        <v>3649537.9393855203</v>
      </c>
    </row>
    <row r="35" spans="2:10" outlineLevel="1">
      <c r="B35" s="109"/>
      <c r="D35" s="4"/>
      <c r="E35" s="14"/>
    </row>
    <row r="36" spans="2:10">
      <c r="B36" s="109"/>
    </row>
    <row r="37" spans="2:10" ht="18.75">
      <c r="B37" s="109"/>
      <c r="D37" s="17" t="s">
        <v>141</v>
      </c>
      <c r="E37" s="18"/>
      <c r="F37" s="18"/>
      <c r="G37" s="18"/>
      <c r="H37" s="18"/>
      <c r="I37" s="18"/>
      <c r="J37" s="18"/>
    </row>
    <row r="38" spans="2:10" outlineLevel="1">
      <c r="B38" s="109"/>
    </row>
    <row r="39" spans="2:10" outlineLevel="1">
      <c r="B39" s="109"/>
      <c r="E39" s="1" t="s">
        <v>142</v>
      </c>
      <c r="F39" s="1" t="s">
        <v>143</v>
      </c>
    </row>
    <row r="40" spans="2:10" outlineLevel="1">
      <c r="B40" s="109"/>
      <c r="D40" t="s">
        <v>144</v>
      </c>
      <c r="E40" s="101">
        <f>F40*1.60934</f>
        <v>128.74719999999999</v>
      </c>
      <c r="F40" s="58">
        <v>80</v>
      </c>
    </row>
    <row r="41" spans="2:10" outlineLevel="1">
      <c r="B41" s="109"/>
      <c r="E41" s="3"/>
      <c r="F41" s="3"/>
    </row>
    <row r="42" spans="2:10" outlineLevel="1">
      <c r="B42" s="109"/>
      <c r="E42" s="1" t="s">
        <v>128</v>
      </c>
      <c r="F42" s="1" t="s">
        <v>129</v>
      </c>
    </row>
    <row r="43" spans="2:10" outlineLevel="1">
      <c r="B43" s="109"/>
      <c r="D43" t="s">
        <v>145</v>
      </c>
      <c r="E43" s="68">
        <f>F43/3.28084</f>
        <v>3.6575998829568039</v>
      </c>
      <c r="F43" s="122">
        <v>12</v>
      </c>
    </row>
    <row r="44" spans="2:10" outlineLevel="1">
      <c r="B44" s="109"/>
    </row>
    <row r="45" spans="2:10">
      <c r="B45" s="109"/>
    </row>
    <row r="46" spans="2:10" ht="18.75">
      <c r="B46" s="109"/>
      <c r="D46" s="17" t="s">
        <v>146</v>
      </c>
      <c r="E46" s="18"/>
      <c r="F46" s="18"/>
      <c r="G46" s="18"/>
      <c r="H46" s="18"/>
      <c r="I46" s="18"/>
      <c r="J46" s="18"/>
    </row>
    <row r="47" spans="2:10" outlineLevel="1">
      <c r="B47" s="109"/>
      <c r="D47" s="4"/>
    </row>
    <row r="48" spans="2:10" outlineLevel="1">
      <c r="B48" s="109"/>
      <c r="D48" s="5" t="s">
        <v>147</v>
      </c>
    </row>
    <row r="49" spans="2:10" outlineLevel="1">
      <c r="B49" s="109"/>
      <c r="D49" s="75" t="s">
        <v>0</v>
      </c>
      <c r="E49" s="76"/>
      <c r="F49" s="76"/>
      <c r="G49" s="76"/>
      <c r="H49" s="76"/>
      <c r="I49" s="76"/>
      <c r="J49" s="76"/>
    </row>
    <row r="50" spans="2:10" outlineLevel="1">
      <c r="B50" s="109"/>
      <c r="D50" t="s">
        <v>148</v>
      </c>
    </row>
    <row r="51" spans="2:10" outlineLevel="1">
      <c r="B51" s="109"/>
      <c r="E51" s="10" t="s">
        <v>128</v>
      </c>
      <c r="F51" s="10" t="s">
        <v>129</v>
      </c>
    </row>
    <row r="52" spans="2:10" outlineLevel="1">
      <c r="B52" s="109"/>
      <c r="D52" t="s">
        <v>149</v>
      </c>
      <c r="E52" s="3">
        <v>0.84899999999999998</v>
      </c>
      <c r="F52" s="3">
        <v>1.3180000000000001</v>
      </c>
    </row>
    <row r="53" spans="2:10" outlineLevel="1">
      <c r="B53" s="109"/>
      <c r="D53" t="s">
        <v>2</v>
      </c>
      <c r="E53" s="142" t="s">
        <v>23</v>
      </c>
      <c r="F53" s="142"/>
    </row>
    <row r="54" spans="2:10" outlineLevel="1">
      <c r="B54" s="109"/>
      <c r="D54" t="s">
        <v>150</v>
      </c>
      <c r="E54" s="143">
        <f>VLOOKUP(E53,'Lookup Tables'!A:B,2,0)</f>
        <v>120</v>
      </c>
      <c r="F54" s="143"/>
    </row>
    <row r="55" spans="2:10" outlineLevel="1">
      <c r="B55" s="109"/>
      <c r="D55" t="s">
        <v>151</v>
      </c>
      <c r="E55" s="11">
        <f>F55*0.3048</f>
        <v>0.9144000000000001</v>
      </c>
      <c r="F55" s="74">
        <v>3</v>
      </c>
    </row>
    <row r="56" spans="2:10" outlineLevel="1">
      <c r="B56" s="109"/>
      <c r="D56" t="s">
        <v>152</v>
      </c>
      <c r="E56" s="11">
        <f>$F$56*0.3048</f>
        <v>128747.52</v>
      </c>
      <c r="F56" s="11">
        <f>$F$40*5280</f>
        <v>422400</v>
      </c>
    </row>
    <row r="57" spans="2:10" outlineLevel="1">
      <c r="B57" s="109"/>
      <c r="D57" t="s">
        <v>153</v>
      </c>
      <c r="E57" s="11">
        <f>E30</f>
        <v>70</v>
      </c>
      <c r="F57" s="11">
        <f>F30</f>
        <v>229.65879265091863</v>
      </c>
    </row>
    <row r="58" spans="2:10" outlineLevel="1">
      <c r="B58" s="109"/>
      <c r="D58" t="s">
        <v>154</v>
      </c>
      <c r="E58" s="144">
        <f>E57/E56</f>
        <v>5.4369979320766722E-4</v>
      </c>
      <c r="F58" s="144"/>
    </row>
    <row r="59" spans="2:10" outlineLevel="1">
      <c r="B59" s="109"/>
      <c r="E59" s="3"/>
      <c r="F59" s="3"/>
    </row>
    <row r="60" spans="2:10" outlineLevel="1">
      <c r="B60" s="109"/>
      <c r="E60" s="10" t="s">
        <v>155</v>
      </c>
      <c r="F60" s="10" t="s">
        <v>156</v>
      </c>
    </row>
    <row r="61" spans="2:10" outlineLevel="1">
      <c r="B61" s="109"/>
      <c r="D61" t="s">
        <v>157</v>
      </c>
      <c r="E61" s="73">
        <f>E52*E54*(E55^0.63)*(E58^0.54)</f>
        <v>1.6622590414529121</v>
      </c>
      <c r="F61" s="73">
        <f>F52*E54*(F55^0.63)*(E58^0.54)</f>
        <v>5.4547769593985507</v>
      </c>
    </row>
    <row r="62" spans="2:10" outlineLevel="1">
      <c r="B62" s="109"/>
      <c r="E62" s="72"/>
      <c r="F62" s="72"/>
    </row>
    <row r="63" spans="2:10" outlineLevel="1">
      <c r="B63" s="109"/>
      <c r="E63" s="10" t="s">
        <v>106</v>
      </c>
      <c r="F63" s="10" t="s">
        <v>158</v>
      </c>
    </row>
    <row r="64" spans="2:10" outlineLevel="1">
      <c r="B64" s="109"/>
      <c r="D64" t="s">
        <v>159</v>
      </c>
      <c r="E64" s="72">
        <f>E61*PI()*(E43/2)^2</f>
        <v>17.465498061377868</v>
      </c>
      <c r="F64" s="114">
        <f>F61*PI()*(F43/2)^2</f>
        <v>616.92074001422486</v>
      </c>
    </row>
    <row r="65" spans="2:10" outlineLevel="1">
      <c r="B65" s="109"/>
    </row>
    <row r="66" spans="2:10">
      <c r="B66" s="109"/>
    </row>
    <row r="67" spans="2:10" ht="18.75">
      <c r="B67" s="109"/>
      <c r="D67" s="17" t="s">
        <v>160</v>
      </c>
      <c r="E67" s="18"/>
      <c r="F67" s="18"/>
      <c r="G67" s="18"/>
      <c r="H67" s="18"/>
      <c r="I67" s="18"/>
      <c r="J67" s="18"/>
    </row>
    <row r="68" spans="2:10" outlineLevel="1">
      <c r="B68" s="109"/>
    </row>
    <row r="69" spans="2:10" s="93" customFormat="1" ht="19.5" outlineLevel="1">
      <c r="B69" s="110"/>
      <c r="D69" s="107" t="s">
        <v>161</v>
      </c>
    </row>
    <row r="70" spans="2:10" ht="18" outlineLevel="1">
      <c r="B70" s="109"/>
      <c r="D70" s="94"/>
    </row>
    <row r="71" spans="2:10" outlineLevel="1">
      <c r="B71" s="109"/>
      <c r="D71" s="4" t="s">
        <v>162</v>
      </c>
    </row>
    <row r="72" spans="2:10" outlineLevel="1">
      <c r="B72" s="109"/>
    </row>
    <row r="73" spans="2:10" outlineLevel="1">
      <c r="B73" s="109"/>
      <c r="D73" s="5" t="s">
        <v>163</v>
      </c>
    </row>
    <row r="74" spans="2:10" outlineLevel="1">
      <c r="B74" s="109"/>
      <c r="D74" s="75" t="s">
        <v>164</v>
      </c>
      <c r="E74" s="76"/>
      <c r="F74" s="76"/>
      <c r="G74" s="76"/>
      <c r="H74" s="76"/>
      <c r="I74" s="76"/>
      <c r="J74" s="76"/>
    </row>
    <row r="75" spans="2:10" outlineLevel="1">
      <c r="B75" s="109"/>
      <c r="D75" s="77" t="s">
        <v>165</v>
      </c>
      <c r="E75" t="s">
        <v>166</v>
      </c>
    </row>
    <row r="76" spans="2:10" outlineLevel="1">
      <c r="B76" s="109"/>
      <c r="D76" s="77" t="s">
        <v>167</v>
      </c>
      <c r="E76" t="s">
        <v>168</v>
      </c>
    </row>
    <row r="77" spans="2:10" outlineLevel="1">
      <c r="B77" s="109"/>
    </row>
    <row r="78" spans="2:10" outlineLevel="1">
      <c r="B78" s="109"/>
      <c r="D78" s="77"/>
      <c r="F78" s="10" t="s">
        <v>169</v>
      </c>
    </row>
    <row r="79" spans="2:10" outlineLevel="1">
      <c r="B79" s="109"/>
      <c r="D79" t="s">
        <v>170</v>
      </c>
      <c r="F79" s="123">
        <v>0.01</v>
      </c>
    </row>
    <row r="80" spans="2:10" outlineLevel="1">
      <c r="B80" s="109"/>
      <c r="D80" t="s">
        <v>171</v>
      </c>
      <c r="F80" s="11">
        <f>E40*1000</f>
        <v>128747.2</v>
      </c>
    </row>
    <row r="81" spans="2:6" outlineLevel="1">
      <c r="B81" s="109"/>
      <c r="D81" t="s">
        <v>172</v>
      </c>
      <c r="F81" s="33">
        <f>E61</f>
        <v>1.6622590414529121</v>
      </c>
    </row>
    <row r="82" spans="2:6" outlineLevel="1">
      <c r="B82" s="109"/>
      <c r="D82" t="s">
        <v>173</v>
      </c>
      <c r="F82" s="33">
        <f>E43</f>
        <v>3.6575998829568039</v>
      </c>
    </row>
    <row r="83" spans="2:6" ht="18.75" outlineLevel="1">
      <c r="B83" s="109"/>
      <c r="D83" t="s">
        <v>174</v>
      </c>
      <c r="F83" s="72">
        <f>F24</f>
        <v>1035</v>
      </c>
    </row>
    <row r="84" spans="2:6" outlineLevel="1">
      <c r="B84" s="109"/>
      <c r="D84" s="26" t="s">
        <v>175</v>
      </c>
      <c r="F84" s="79">
        <v>9.81</v>
      </c>
    </row>
    <row r="85" spans="2:6" outlineLevel="1">
      <c r="B85" s="109"/>
      <c r="F85" s="78"/>
    </row>
    <row r="86" spans="2:6" outlineLevel="1">
      <c r="B86" s="109"/>
      <c r="D86" s="77" t="s">
        <v>176</v>
      </c>
      <c r="F86" s="11">
        <f>F79*(F80/F82)*((F83*F81^2)/2)</f>
        <v>503325.99391594867</v>
      </c>
    </row>
    <row r="87" spans="2:6" outlineLevel="1">
      <c r="B87" s="109"/>
      <c r="D87" s="77" t="s">
        <v>177</v>
      </c>
      <c r="F87" s="33">
        <f>F86*0.00001</f>
        <v>5.0332599391594872</v>
      </c>
    </row>
    <row r="88" spans="2:6" outlineLevel="1">
      <c r="B88" s="109"/>
      <c r="D88" t="s">
        <v>178</v>
      </c>
      <c r="F88" s="37">
        <f>F79*(F80/F82)*((F83*F81^2)/2)/(F83*F84)</f>
        <v>49.572406537344683</v>
      </c>
    </row>
    <row r="89" spans="2:6" outlineLevel="1">
      <c r="B89" s="109"/>
      <c r="D89" t="s">
        <v>179</v>
      </c>
      <c r="F89" s="113">
        <f>MIN(F88/E30,1)</f>
        <v>0.70817723624778117</v>
      </c>
    </row>
    <row r="90" spans="2:6" outlineLevel="1">
      <c r="B90" s="109"/>
    </row>
    <row r="91" spans="2:6" outlineLevel="1">
      <c r="B91" s="109"/>
    </row>
    <row r="92" spans="2:6" outlineLevel="1">
      <c r="B92" s="109"/>
      <c r="D92" t="s">
        <v>180</v>
      </c>
    </row>
  </sheetData>
  <mergeCells count="4">
    <mergeCell ref="E53:F53"/>
    <mergeCell ref="E54:F54"/>
    <mergeCell ref="E58:F58"/>
    <mergeCell ref="D2:D5"/>
  </mergeCells>
  <pageMargins left="0.7" right="0.7" top="0.75" bottom="0.75" header="0.3" footer="0.3"/>
  <pageSetup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'Lookup Tables'!$A$4:$A$32</xm:f>
          </x14:formula1>
          <xm:sqref>E53:F53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2:AH109"/>
  <sheetViews>
    <sheetView showGridLines="0" zoomScale="70" zoomScaleNormal="70" workbookViewId="0">
      <selection activeCell="G62" sqref="G62"/>
    </sheetView>
  </sheetViews>
  <sheetFormatPr defaultRowHeight="15"/>
  <cols>
    <col min="2" max="2" width="42.28515625" customWidth="1"/>
    <col min="3" max="3" width="5.42578125" customWidth="1"/>
    <col min="4" max="4" width="50" customWidth="1"/>
    <col min="5" max="5" width="17.7109375" bestFit="1" customWidth="1"/>
    <col min="6" max="6" width="16" customWidth="1"/>
    <col min="7" max="7" width="32.5703125" customWidth="1"/>
    <col min="8" max="8" width="18.85546875" bestFit="1" customWidth="1"/>
    <col min="9" max="10" width="16" customWidth="1"/>
    <col min="11" max="11" width="14.28515625" bestFit="1" customWidth="1"/>
    <col min="12" max="13" width="10" customWidth="1"/>
    <col min="14" max="14" width="17" bestFit="1" customWidth="1"/>
    <col min="15" max="15" width="15" bestFit="1" customWidth="1"/>
    <col min="17" max="17" width="9.7109375" customWidth="1"/>
    <col min="18" max="18" width="15.85546875" customWidth="1"/>
    <col min="19" max="19" width="14.28515625" bestFit="1" customWidth="1"/>
    <col min="20" max="20" width="16.28515625" bestFit="1" customWidth="1"/>
    <col min="21" max="21" width="11" customWidth="1"/>
    <col min="27" max="27" width="9.140625" customWidth="1"/>
  </cols>
  <sheetData>
    <row r="2" spans="2:34">
      <c r="D2" s="19" t="s">
        <v>181</v>
      </c>
    </row>
    <row r="4" spans="2:34" ht="18.600000000000001" customHeight="1">
      <c r="B4" s="108" t="s">
        <v>103</v>
      </c>
      <c r="D4" s="17" t="s">
        <v>182</v>
      </c>
      <c r="E4" s="18"/>
      <c r="F4" s="18"/>
      <c r="G4" s="18"/>
      <c r="H4" s="18"/>
      <c r="I4" s="18"/>
      <c r="J4" s="18"/>
      <c r="L4" s="153">
        <f>(E33+'System Assumptions'!E11)/'System Assumptions'!F33</f>
        <v>0.35852647233946144</v>
      </c>
      <c r="M4" s="154"/>
    </row>
    <row r="5" spans="2:34" ht="14.45" customHeight="1">
      <c r="B5" s="109"/>
      <c r="D5" s="5"/>
      <c r="E5" s="5"/>
      <c r="F5" s="5"/>
      <c r="G5" s="5"/>
      <c r="L5" s="155"/>
      <c r="M5" s="156"/>
      <c r="P5" s="5" t="str">
        <f>'System Assumptions'!D10</f>
        <v>Evaporation</v>
      </c>
    </row>
    <row r="6" spans="2:34" ht="14.45" customHeight="1">
      <c r="B6" s="109"/>
      <c r="D6" s="104" t="s">
        <v>183</v>
      </c>
      <c r="E6" s="104"/>
      <c r="F6" s="5"/>
      <c r="G6" s="104" t="s">
        <v>184</v>
      </c>
      <c r="H6" s="76"/>
      <c r="I6" s="76"/>
      <c r="J6" s="76"/>
      <c r="L6" s="157"/>
      <c r="M6" s="158"/>
      <c r="P6" s="6" t="str">
        <f>ROUND('System Assumptions'!I10,1)&amp;" cf/s"</f>
        <v>1795.7 cf/s</v>
      </c>
    </row>
    <row r="7" spans="2:34" ht="14.45" customHeight="1">
      <c r="B7" s="109"/>
      <c r="D7" s="5"/>
      <c r="E7" s="5"/>
      <c r="F7" s="5"/>
      <c r="G7" s="5"/>
      <c r="L7" s="148" t="s">
        <v>185</v>
      </c>
      <c r="M7" s="149"/>
      <c r="P7" s="34" t="str">
        <f>ROUND('System Assumptions'!E10/'System Assumptions'!$F$33,4)*100&amp;"% of lake volume"</f>
        <v>18.51% of lake volume</v>
      </c>
      <c r="AE7" s="152" t="s">
        <v>186</v>
      </c>
      <c r="AF7" s="152"/>
      <c r="AG7" s="152"/>
      <c r="AH7" s="152"/>
    </row>
    <row r="8" spans="2:34" ht="14.45" customHeight="1">
      <c r="B8" s="109"/>
      <c r="D8" t="s">
        <v>187</v>
      </c>
      <c r="E8" s="58">
        <v>2</v>
      </c>
      <c r="G8" t="s">
        <v>187</v>
      </c>
      <c r="I8" s="58">
        <v>2</v>
      </c>
      <c r="L8" s="150"/>
      <c r="M8" s="151"/>
      <c r="AE8" s="152"/>
      <c r="AF8" s="152"/>
      <c r="AG8" s="152"/>
      <c r="AH8" s="152"/>
    </row>
    <row r="9" spans="2:34" ht="14.45" customHeight="1">
      <c r="B9" s="109"/>
      <c r="D9" t="s">
        <v>188</v>
      </c>
      <c r="E9" s="58">
        <v>0</v>
      </c>
      <c r="G9" t="s">
        <v>188</v>
      </c>
      <c r="I9" s="58">
        <v>3</v>
      </c>
      <c r="AE9" s="152"/>
      <c r="AF9" s="152"/>
      <c r="AG9" s="152"/>
      <c r="AH9" s="152"/>
    </row>
    <row r="10" spans="2:34" ht="14.45" customHeight="1">
      <c r="B10" s="109"/>
      <c r="L10" s="153">
        <f>(E33+'System Assumptions'!E11)/'System Assumptions'!F34</f>
        <v>0.22486780345131019</v>
      </c>
      <c r="M10" s="154"/>
      <c r="AE10" s="152"/>
      <c r="AF10" s="152"/>
      <c r="AG10" s="152"/>
      <c r="AH10" s="152"/>
    </row>
    <row r="11" spans="2:34" ht="14.45" customHeight="1">
      <c r="B11" s="109"/>
      <c r="D11" s="5" t="s">
        <v>189</v>
      </c>
      <c r="G11" s="5" t="s">
        <v>189</v>
      </c>
      <c r="L11" s="155"/>
      <c r="M11" s="156"/>
      <c r="AE11" s="152"/>
      <c r="AF11" s="152"/>
      <c r="AG11" s="152"/>
      <c r="AH11" s="152"/>
    </row>
    <row r="12" spans="2:34" ht="14.45" customHeight="1">
      <c r="B12" s="109"/>
      <c r="D12" t="s">
        <v>190</v>
      </c>
      <c r="E12" s="28">
        <v>8</v>
      </c>
      <c r="G12" t="s">
        <v>190</v>
      </c>
      <c r="I12" s="28">
        <v>8</v>
      </c>
      <c r="L12" s="157"/>
      <c r="M12" s="158"/>
      <c r="AE12" s="152"/>
      <c r="AF12" s="152"/>
      <c r="AG12" s="152"/>
      <c r="AH12" s="152"/>
    </row>
    <row r="13" spans="2:34">
      <c r="B13" s="109"/>
      <c r="D13" s="26" t="s">
        <v>191</v>
      </c>
      <c r="E13" s="131">
        <f>'System Assumptions'!F40*E12</f>
        <v>640</v>
      </c>
      <c r="G13" s="26" t="s">
        <v>191</v>
      </c>
      <c r="H13" s="26"/>
      <c r="I13" s="131">
        <f>'System Assumptions'!F40*I12</f>
        <v>640</v>
      </c>
      <c r="L13" s="148" t="s">
        <v>192</v>
      </c>
      <c r="M13" s="149"/>
      <c r="R13" s="5" t="s">
        <v>193</v>
      </c>
      <c r="AE13" s="152"/>
      <c r="AF13" s="152"/>
      <c r="AG13" s="152"/>
      <c r="AH13" s="152"/>
    </row>
    <row r="14" spans="2:34" ht="21">
      <c r="B14" s="109"/>
      <c r="D14" t="s">
        <v>194</v>
      </c>
      <c r="E14" s="130">
        <f>SUM(E8:E9)*E13</f>
        <v>1280</v>
      </c>
      <c r="G14" t="s">
        <v>194</v>
      </c>
      <c r="I14" s="130">
        <f>SUM(I8:I9)*I13</f>
        <v>3200</v>
      </c>
      <c r="L14" s="150"/>
      <c r="M14" s="151"/>
      <c r="R14" s="35" t="str">
        <f>ROUND('System Assumptions'!I12,1)&amp;" cf/s"</f>
        <v>784.6 cf/s</v>
      </c>
      <c r="AE14" s="152"/>
      <c r="AF14" s="152"/>
      <c r="AG14" s="152"/>
      <c r="AH14" s="152"/>
    </row>
    <row r="15" spans="2:34">
      <c r="B15" s="109"/>
      <c r="R15" s="60" t="str">
        <f>ROUND('System Assumptions'!E12/'System Assumptions'!$F$33,4)*100&amp;"% of lake volume"</f>
        <v>8.09% of lake volume</v>
      </c>
      <c r="AE15" s="152"/>
      <c r="AF15" s="152"/>
      <c r="AG15" s="152"/>
      <c r="AH15" s="152"/>
    </row>
    <row r="16" spans="2:34">
      <c r="B16" s="109"/>
      <c r="AE16" s="152"/>
      <c r="AF16" s="152"/>
      <c r="AG16" s="152"/>
      <c r="AH16" s="152"/>
    </row>
    <row r="17" spans="2:34">
      <c r="B17" s="109"/>
      <c r="E17" s="1" t="s">
        <v>195</v>
      </c>
      <c r="F17" s="1" t="s">
        <v>196</v>
      </c>
      <c r="AE17" s="152"/>
      <c r="AF17" s="152"/>
      <c r="AG17" s="152"/>
      <c r="AH17" s="152"/>
    </row>
    <row r="18" spans="2:34">
      <c r="B18" s="109"/>
      <c r="D18" s="4" t="s">
        <v>197</v>
      </c>
      <c r="E18" s="27">
        <v>0.9</v>
      </c>
      <c r="F18" s="20">
        <v>0.96</v>
      </c>
      <c r="AE18" s="152"/>
      <c r="AF18" s="152"/>
      <c r="AG18" s="152"/>
      <c r="AH18" s="152"/>
    </row>
    <row r="19" spans="2:34">
      <c r="B19" s="109"/>
      <c r="D19" s="4" t="s">
        <v>198</v>
      </c>
      <c r="E19" s="27">
        <v>0.95</v>
      </c>
      <c r="F19" s="20">
        <v>0.95</v>
      </c>
      <c r="L19" s="5" t="str">
        <f>'System Assumptions'!D11</f>
        <v>Watershed Freshwater Inflows</v>
      </c>
      <c r="AE19" s="152"/>
      <c r="AF19" s="152"/>
      <c r="AG19" s="152"/>
      <c r="AH19" s="152"/>
    </row>
    <row r="20" spans="2:34">
      <c r="B20" s="109"/>
      <c r="D20" s="4" t="s">
        <v>199</v>
      </c>
      <c r="E20" s="27">
        <v>0.98</v>
      </c>
      <c r="F20" s="20">
        <v>1</v>
      </c>
      <c r="L20" s="7" t="str">
        <f>ROUND('System Assumptions'!I11,1)&amp;" cf/s"</f>
        <v>1011.1 cf/s</v>
      </c>
      <c r="AE20" s="152"/>
      <c r="AF20" s="152"/>
      <c r="AG20" s="152"/>
      <c r="AH20" s="152"/>
    </row>
    <row r="21" spans="2:34">
      <c r="B21" s="109"/>
      <c r="D21" s="4" t="s">
        <v>200</v>
      </c>
      <c r="E21" s="28">
        <v>20</v>
      </c>
      <c r="L21" s="7" t="str">
        <f>ROUND('System Assumptions'!E11/'System Assumptions'!$F$33,4)*100&amp;"% of lake volume"</f>
        <v>10.42% of lake volume</v>
      </c>
      <c r="S21" s="35"/>
      <c r="AE21" s="152"/>
      <c r="AF21" s="152"/>
      <c r="AG21" s="152"/>
      <c r="AH21" s="152"/>
    </row>
    <row r="22" spans="2:34">
      <c r="B22" s="109"/>
      <c r="I22" s="4"/>
      <c r="J22" s="4"/>
    </row>
    <row r="23" spans="2:34">
      <c r="B23" s="109"/>
    </row>
    <row r="24" spans="2:34">
      <c r="B24" s="109"/>
      <c r="D24" s="104" t="s">
        <v>201</v>
      </c>
      <c r="E24" s="102" t="s">
        <v>105</v>
      </c>
      <c r="F24" s="102" t="s">
        <v>106</v>
      </c>
      <c r="G24" s="102" t="s">
        <v>107</v>
      </c>
      <c r="H24" s="102" t="s">
        <v>108</v>
      </c>
      <c r="I24" s="102" t="s">
        <v>109</v>
      </c>
      <c r="J24" s="102" t="s">
        <v>110</v>
      </c>
      <c r="L24" s="5" t="str">
        <f>D33</f>
        <v xml:space="preserve">Inflow </v>
      </c>
    </row>
    <row r="25" spans="2:34">
      <c r="B25" s="109"/>
      <c r="D25" s="66" t="s">
        <v>202</v>
      </c>
      <c r="E25" s="67">
        <f>G25*1233.48</f>
        <v>1101821421.1497107</v>
      </c>
      <c r="F25" s="68">
        <f>I25*0.0283168</f>
        <v>34.938442421669606</v>
      </c>
      <c r="G25" s="67">
        <f>H25/43559.9</f>
        <v>893262.49404101458</v>
      </c>
      <c r="H25" s="95">
        <f>I25*365*24*60*60</f>
        <v>38910424914.177193</v>
      </c>
      <c r="I25" s="67">
        <f>'Hydrological Data Model'!E8*'System Assumptions'!F64</f>
        <v>1233.8414800284497</v>
      </c>
      <c r="J25" s="67">
        <f>I25*7.4</f>
        <v>9130.4269522105278</v>
      </c>
      <c r="L25" s="8" t="str">
        <f>ROUND(I33,1)&amp;" cf/s"</f>
        <v>2467.7 cf/s</v>
      </c>
    </row>
    <row r="26" spans="2:34">
      <c r="B26" s="109"/>
      <c r="D26" s="66" t="s">
        <v>203</v>
      </c>
      <c r="E26" s="100">
        <f>G26*1233.48</f>
        <v>0</v>
      </c>
      <c r="F26" s="68">
        <f>I26*0.0283168</f>
        <v>0</v>
      </c>
      <c r="G26" s="100">
        <f>H26/43559.9</f>
        <v>0</v>
      </c>
      <c r="H26" s="95">
        <f>I26*365*24*60*60</f>
        <v>0</v>
      </c>
      <c r="I26" s="100">
        <f>'Hydrological Data Model'!E9*'System Assumptions'!F64</f>
        <v>0</v>
      </c>
      <c r="J26" s="100">
        <f>I26*7.4</f>
        <v>0</v>
      </c>
      <c r="L26" s="8" t="str">
        <f>ROUND(E33/'System Assumptions'!$F$33,4)*100&amp;"% of lake volume"</f>
        <v>25.43% of lake volume</v>
      </c>
    </row>
    <row r="27" spans="2:34">
      <c r="B27" s="109"/>
    </row>
    <row r="28" spans="2:34">
      <c r="B28" s="109"/>
      <c r="D28" s="105" t="s">
        <v>204</v>
      </c>
      <c r="E28" s="102" t="s">
        <v>105</v>
      </c>
      <c r="F28" s="102" t="s">
        <v>106</v>
      </c>
      <c r="G28" s="102" t="s">
        <v>107</v>
      </c>
      <c r="H28" s="102" t="s">
        <v>108</v>
      </c>
      <c r="I28" s="102" t="s">
        <v>109</v>
      </c>
      <c r="J28" s="102" t="s">
        <v>110</v>
      </c>
      <c r="L28" s="5" t="str">
        <f>D34</f>
        <v>Outflow</v>
      </c>
    </row>
    <row r="29" spans="2:34">
      <c r="B29" s="109"/>
      <c r="D29" s="66" t="s">
        <v>205</v>
      </c>
      <c r="E29" s="100">
        <f>G29*1233.48</f>
        <v>1101821421.1497107</v>
      </c>
      <c r="F29" s="68">
        <f>I29*0.0283168</f>
        <v>34.938442421669606</v>
      </c>
      <c r="G29" s="100">
        <f>H29/43559.9</f>
        <v>893262.49404101458</v>
      </c>
      <c r="H29" s="95">
        <f>I29*365*24*60*60</f>
        <v>38910424914.177193</v>
      </c>
      <c r="I29" s="100">
        <f>'Hydrological Data Model'!I8*'System Assumptions'!F64</f>
        <v>1233.8414800284497</v>
      </c>
      <c r="J29" s="100">
        <f>I29*7.4</f>
        <v>9130.4269522105278</v>
      </c>
      <c r="L29" s="9" t="str">
        <f>ROUND(I34,1)&amp;" cf/s"</f>
        <v>1850.8 cf/s</v>
      </c>
    </row>
    <row r="30" spans="2:34">
      <c r="B30" s="109"/>
      <c r="D30" s="66" t="s">
        <v>203</v>
      </c>
      <c r="E30" s="100">
        <f>G30*1233.48</f>
        <v>1652732131.7245657</v>
      </c>
      <c r="F30" s="68">
        <f>I30*0.0283168</f>
        <v>52.407663632504402</v>
      </c>
      <c r="G30" s="100">
        <f>H30/43559.9</f>
        <v>1339893.7410615217</v>
      </c>
      <c r="H30" s="95">
        <f>I30*365*24*60*60</f>
        <v>58365637371.265778</v>
      </c>
      <c r="I30" s="100">
        <f>'Hydrological Data Model'!I9*'System Assumptions'!F64</f>
        <v>1850.7622200426745</v>
      </c>
      <c r="J30" s="100">
        <f>I30*7.4</f>
        <v>13695.640428315792</v>
      </c>
      <c r="L30" s="9" t="str">
        <f>ROUND(E34/'System Assumptions'!$F$33,4)*100&amp;"% of lake volume"</f>
        <v>19.07% of lake volume</v>
      </c>
    </row>
    <row r="31" spans="2:34">
      <c r="B31" s="109"/>
      <c r="E31" s="103"/>
      <c r="F31" s="103"/>
      <c r="G31" s="103"/>
      <c r="H31" s="103"/>
      <c r="I31" s="103"/>
      <c r="J31" s="103"/>
    </row>
    <row r="32" spans="2:34">
      <c r="B32" s="109"/>
      <c r="D32" s="105" t="s">
        <v>206</v>
      </c>
      <c r="E32" s="102" t="s">
        <v>105</v>
      </c>
      <c r="F32" s="102" t="s">
        <v>106</v>
      </c>
      <c r="G32" s="102" t="s">
        <v>107</v>
      </c>
      <c r="H32" s="102" t="s">
        <v>108</v>
      </c>
      <c r="I32" s="102" t="s">
        <v>109</v>
      </c>
      <c r="J32" s="102" t="s">
        <v>110</v>
      </c>
    </row>
    <row r="33" spans="2:10">
      <c r="B33" s="109"/>
      <c r="D33" s="66" t="s">
        <v>202</v>
      </c>
      <c r="E33" s="67">
        <f>G33*1233.48</f>
        <v>2203642842.2994213</v>
      </c>
      <c r="F33" s="68">
        <f>I33*0.0283168</f>
        <v>69.876884843339212</v>
      </c>
      <c r="G33" s="67">
        <f>H33/43559.9</f>
        <v>1786524.9880820292</v>
      </c>
      <c r="H33" s="95">
        <f>I33*365*24*60*60</f>
        <v>77820849828.354385</v>
      </c>
      <c r="I33" s="67">
        <f>I25+I29</f>
        <v>2467.6829600568994</v>
      </c>
      <c r="J33" s="67">
        <f>I33*7.4</f>
        <v>18260.853904421056</v>
      </c>
    </row>
    <row r="34" spans="2:10">
      <c r="B34" s="109"/>
      <c r="D34" s="96" t="s">
        <v>203</v>
      </c>
      <c r="E34" s="97">
        <f>G34*1233.48</f>
        <v>1652732131.7245657</v>
      </c>
      <c r="F34" s="98">
        <f>I34*0.0283168</f>
        <v>52.407663632504402</v>
      </c>
      <c r="G34" s="97">
        <f>H34/43559.9</f>
        <v>1339893.7410615217</v>
      </c>
      <c r="H34" s="99">
        <f>I34*365*24*60*60</f>
        <v>58365637371.265778</v>
      </c>
      <c r="I34" s="97">
        <f>I26+I30</f>
        <v>1850.7622200426745</v>
      </c>
      <c r="J34" s="97">
        <f>I34*7.4</f>
        <v>13695.640428315792</v>
      </c>
    </row>
    <row r="35" spans="2:10">
      <c r="B35" s="109"/>
      <c r="D35" s="66" t="s">
        <v>207</v>
      </c>
      <c r="E35" s="67">
        <f t="shared" ref="E35:J35" si="0">SUM(E33:E34)</f>
        <v>3856374974.0239868</v>
      </c>
      <c r="F35" s="68">
        <f t="shared" si="0"/>
        <v>122.28454847584362</v>
      </c>
      <c r="G35" s="67">
        <f t="shared" si="0"/>
        <v>3126418.7291435506</v>
      </c>
      <c r="H35" s="95">
        <f t="shared" si="0"/>
        <v>136186487199.62016</v>
      </c>
      <c r="I35" s="67">
        <f t="shared" si="0"/>
        <v>4318.4451800995739</v>
      </c>
      <c r="J35" s="67">
        <f t="shared" si="0"/>
        <v>31956.494332736846</v>
      </c>
    </row>
    <row r="36" spans="2:10">
      <c r="B36" s="109"/>
    </row>
    <row r="37" spans="2:10">
      <c r="B37" s="109"/>
      <c r="D37" s="105" t="s">
        <v>208</v>
      </c>
      <c r="E37" s="76"/>
    </row>
    <row r="38" spans="2:10">
      <c r="B38" s="109"/>
      <c r="D38" s="66" t="s">
        <v>202</v>
      </c>
      <c r="E38" s="124">
        <v>1</v>
      </c>
    </row>
    <row r="39" spans="2:10">
      <c r="B39" s="109"/>
      <c r="D39" s="96" t="s">
        <v>209</v>
      </c>
      <c r="E39" s="125">
        <f>(E33-'System Assumptions'!E12)/E34</f>
        <v>0.90941912088988563</v>
      </c>
    </row>
    <row r="40" spans="2:10">
      <c r="B40" s="109"/>
    </row>
    <row r="41" spans="2:10">
      <c r="B41" s="109"/>
    </row>
    <row r="42" spans="2:10" ht="18.75">
      <c r="B42" s="109"/>
      <c r="D42" s="17" t="s">
        <v>210</v>
      </c>
      <c r="E42" s="18"/>
      <c r="F42" s="18"/>
      <c r="G42" s="18"/>
      <c r="H42" s="18"/>
      <c r="I42" s="18"/>
      <c r="J42" s="18"/>
    </row>
    <row r="43" spans="2:10">
      <c r="B43" s="109"/>
      <c r="D43" s="4"/>
    </row>
    <row r="44" spans="2:10">
      <c r="B44" s="109"/>
      <c r="D44" s="76" t="s">
        <v>201</v>
      </c>
      <c r="E44" s="76"/>
      <c r="G44" s="76" t="s">
        <v>204</v>
      </c>
      <c r="H44" s="76"/>
      <c r="I44" s="76"/>
      <c r="J44" s="76"/>
    </row>
    <row r="45" spans="2:10">
      <c r="B45" s="109"/>
    </row>
    <row r="46" spans="2:10">
      <c r="B46" s="109"/>
      <c r="D46" s="5" t="s">
        <v>211</v>
      </c>
      <c r="G46" s="5" t="s">
        <v>211</v>
      </c>
    </row>
    <row r="47" spans="2:10">
      <c r="B47" s="109"/>
      <c r="D47" t="s">
        <v>212</v>
      </c>
      <c r="G47" t="s">
        <v>212</v>
      </c>
    </row>
    <row r="48" spans="2:10">
      <c r="B48" s="109"/>
    </row>
    <row r="49" spans="2:10">
      <c r="B49" s="109"/>
      <c r="D49" t="s">
        <v>213</v>
      </c>
      <c r="E49" s="37">
        <f>'System Assumptions'!$E$30*(1-'System Assumptions'!$F$89)</f>
        <v>20.427593462655317</v>
      </c>
      <c r="G49" t="s">
        <v>213</v>
      </c>
      <c r="I49" s="37">
        <f>'System Assumptions'!$E$30*(1-'System Assumptions'!$F$89)</f>
        <v>20.427593462655317</v>
      </c>
    </row>
    <row r="50" spans="2:10">
      <c r="B50" s="109"/>
      <c r="D50" s="4" t="s">
        <v>214</v>
      </c>
      <c r="E50" s="80">
        <f>F25*'System Assumptions'!$F$24*'System Assumptions'!$F$84*'System Assumptions'!$E$30/1000000</f>
        <v>24.831956405344137</v>
      </c>
      <c r="G50" s="4" t="s">
        <v>214</v>
      </c>
      <c r="I50" s="80">
        <f>F29*'System Assumptions'!$F$24*'System Assumptions'!$F$84*'System Assumptions'!$E$30/1000000</f>
        <v>24.831956405344137</v>
      </c>
    </row>
    <row r="51" spans="2:10">
      <c r="B51" s="109"/>
      <c r="D51" s="4" t="s">
        <v>215</v>
      </c>
      <c r="E51" s="80">
        <f>E50*(1-'System Assumptions'!F89)*E18</f>
        <v>6.5218771328239251</v>
      </c>
      <c r="G51" s="4" t="s">
        <v>215</v>
      </c>
      <c r="I51" s="80">
        <f>I50*(1-'System Assumptions'!F89)*E18</f>
        <v>6.5218771328239251</v>
      </c>
    </row>
    <row r="52" spans="2:10">
      <c r="B52" s="109"/>
      <c r="D52" s="4" t="s">
        <v>216</v>
      </c>
      <c r="E52" s="81">
        <f>E51*24*365</f>
        <v>57131.643683537586</v>
      </c>
      <c r="G52" s="4" t="s">
        <v>216</v>
      </c>
      <c r="I52" s="81">
        <f>I51*24*365</f>
        <v>57131.643683537586</v>
      </c>
    </row>
    <row r="53" spans="2:10">
      <c r="B53" s="109"/>
      <c r="D53" t="s">
        <v>217</v>
      </c>
      <c r="E53" s="82">
        <f>E52*$E$21</f>
        <v>1142632.8736707517</v>
      </c>
      <c r="G53" t="s">
        <v>217</v>
      </c>
      <c r="I53" s="82">
        <f>I52*$E$21</f>
        <v>1142632.8736707517</v>
      </c>
    </row>
    <row r="54" spans="2:10">
      <c r="B54" s="109"/>
    </row>
    <row r="55" spans="2:10">
      <c r="B55" s="109"/>
      <c r="D55" s="5" t="s">
        <v>218</v>
      </c>
      <c r="G55" s="5" t="s">
        <v>218</v>
      </c>
    </row>
    <row r="56" spans="2:10">
      <c r="B56" s="109"/>
      <c r="D56" t="s">
        <v>212</v>
      </c>
      <c r="G56" t="s">
        <v>212</v>
      </c>
    </row>
    <row r="57" spans="2:10">
      <c r="B57" s="109"/>
    </row>
    <row r="58" spans="2:10">
      <c r="B58" s="109"/>
      <c r="D58" t="s">
        <v>213</v>
      </c>
      <c r="E58" s="37">
        <f>'System Assumptions'!$E$30+('System Assumptions'!$E$30*'System Assumptions'!$F$89)</f>
        <v>119.57240653734468</v>
      </c>
      <c r="G58" t="s">
        <v>213</v>
      </c>
      <c r="I58" s="37">
        <f>'System Assumptions'!$E$30+('System Assumptions'!$E$30*'System Assumptions'!$F$89)</f>
        <v>119.57240653734468</v>
      </c>
    </row>
    <row r="59" spans="2:10">
      <c r="B59" s="109"/>
      <c r="D59" s="4" t="s">
        <v>219</v>
      </c>
      <c r="E59" s="80">
        <f>F26*'System Assumptions'!$F$25*'System Assumptions'!E30*'System Assumptions'!$F$84/1000000</f>
        <v>0</v>
      </c>
      <c r="G59" s="4" t="s">
        <v>219</v>
      </c>
      <c r="I59" s="80">
        <f>F30*$E$39*'System Assumptions'!$F$25*'System Assumptions'!E30*'System Assumptions'!$F$84/1000000</f>
        <v>35.183123422367146</v>
      </c>
    </row>
    <row r="60" spans="2:10">
      <c r="B60" s="109"/>
      <c r="D60" s="4" t="s">
        <v>220</v>
      </c>
      <c r="E60" s="80">
        <f>(E59/$E$19)*(E58/'System Assumptions'!$E$30)</f>
        <v>0</v>
      </c>
      <c r="G60" s="4" t="s">
        <v>220</v>
      </c>
      <c r="I60" s="80">
        <f>(I59/$E$19)*(I58/'System Assumptions'!$E$30)</f>
        <v>63.262116347561779</v>
      </c>
    </row>
    <row r="61" spans="2:10">
      <c r="B61" s="109"/>
      <c r="D61" s="4" t="s">
        <v>221</v>
      </c>
      <c r="E61" s="81">
        <f>E60*24*365</f>
        <v>0</v>
      </c>
      <c r="G61" s="4" t="s">
        <v>221</v>
      </c>
      <c r="I61" s="81">
        <f>I60*24*365</f>
        <v>554176.13920464122</v>
      </c>
    </row>
    <row r="62" spans="2:10" ht="18.75">
      <c r="B62" s="110"/>
      <c r="C62" s="93"/>
      <c r="D62" t="s">
        <v>222</v>
      </c>
      <c r="E62" s="82">
        <f>E61*$E$21</f>
        <v>0</v>
      </c>
      <c r="G62" t="s">
        <v>222</v>
      </c>
      <c r="I62" s="82">
        <f>I61*$E$21*-1</f>
        <v>-11083522.784092825</v>
      </c>
    </row>
    <row r="63" spans="2:10">
      <c r="B63" s="109"/>
      <c r="D63" s="26"/>
      <c r="E63" s="26"/>
      <c r="G63" s="26"/>
      <c r="H63" s="26"/>
      <c r="I63" s="26"/>
      <c r="J63" s="26"/>
    </row>
    <row r="64" spans="2:10">
      <c r="B64" s="109"/>
    </row>
    <row r="65" spans="2:10">
      <c r="B65" s="109"/>
      <c r="D65" t="s">
        <v>223</v>
      </c>
      <c r="E65" s="82">
        <f>E53-E62</f>
        <v>1142632.8736707517</v>
      </c>
      <c r="G65" t="s">
        <v>223</v>
      </c>
      <c r="I65" s="82">
        <f>I53+I62</f>
        <v>-9940889.9104220737</v>
      </c>
    </row>
    <row r="66" spans="2:10">
      <c r="B66" s="109"/>
      <c r="D66" s="26"/>
      <c r="E66" s="26"/>
      <c r="F66" s="26"/>
      <c r="G66" s="26"/>
      <c r="H66" s="26"/>
      <c r="I66" s="26"/>
      <c r="J66" s="26"/>
    </row>
    <row r="67" spans="2:10">
      <c r="B67" s="109"/>
    </row>
    <row r="68" spans="2:10" ht="21">
      <c r="B68" s="109"/>
      <c r="D68" t="s">
        <v>224</v>
      </c>
      <c r="E68" s="132">
        <f>E65+I65</f>
        <v>-8798257.0367513224</v>
      </c>
    </row>
    <row r="69" spans="2:10">
      <c r="B69" s="109"/>
    </row>
    <row r="70" spans="2:10">
      <c r="B70" s="109"/>
    </row>
    <row r="71" spans="2:10">
      <c r="B71" s="109"/>
    </row>
    <row r="72" spans="2:10">
      <c r="B72" s="109"/>
    </row>
    <row r="73" spans="2:10">
      <c r="B73" s="109"/>
    </row>
    <row r="74" spans="2:10">
      <c r="B74" s="109"/>
    </row>
    <row r="75" spans="2:10">
      <c r="B75" s="109"/>
    </row>
    <row r="76" spans="2:10">
      <c r="B76" s="109"/>
    </row>
    <row r="77" spans="2:10">
      <c r="B77" s="109"/>
    </row>
    <row r="78" spans="2:10">
      <c r="B78" s="109"/>
    </row>
    <row r="79" spans="2:10">
      <c r="B79" s="109"/>
    </row>
    <row r="80" spans="2:10">
      <c r="B80" s="109"/>
    </row>
    <row r="81" spans="2:10">
      <c r="B81" s="109"/>
    </row>
    <row r="82" spans="2:10">
      <c r="B82" s="109"/>
    </row>
    <row r="83" spans="2:10">
      <c r="B83" s="109"/>
    </row>
    <row r="84" spans="2:10">
      <c r="B84" s="109"/>
    </row>
    <row r="85" spans="2:10" ht="18.75">
      <c r="B85" s="109"/>
      <c r="D85" s="17" t="s">
        <v>225</v>
      </c>
      <c r="E85" s="18"/>
      <c r="F85" s="18"/>
      <c r="G85" s="18"/>
      <c r="H85" s="18"/>
      <c r="I85" s="18"/>
      <c r="J85" s="18"/>
    </row>
    <row r="86" spans="2:10">
      <c r="B86" s="109"/>
      <c r="D86" s="5"/>
    </row>
    <row r="87" spans="2:10">
      <c r="B87" s="109"/>
      <c r="D87" s="5" t="s">
        <v>226</v>
      </c>
      <c r="G87" s="5" t="s">
        <v>227</v>
      </c>
    </row>
    <row r="88" spans="2:10">
      <c r="B88" s="109"/>
      <c r="D88" t="s">
        <v>228</v>
      </c>
      <c r="E88" s="15">
        <f>'System Assumptions'!I11/SUM('System Assumptions'!I11,I33)</f>
        <v>0.2906466726617824</v>
      </c>
      <c r="G88" t="s">
        <v>111</v>
      </c>
      <c r="H88" s="15">
        <f>'System Assumptions'!I10/SUM('System Assumptions'!I10,I34)</f>
        <v>0.49244406309977456</v>
      </c>
    </row>
    <row r="89" spans="2:10">
      <c r="B89" s="109"/>
      <c r="D89" t="s">
        <v>229</v>
      </c>
      <c r="E89" s="15">
        <f>1-E88</f>
        <v>0.70935332733821754</v>
      </c>
      <c r="G89" t="s">
        <v>230</v>
      </c>
      <c r="H89" s="15">
        <f>1-H88</f>
        <v>0.50755593690022538</v>
      </c>
    </row>
    <row r="90" spans="2:10">
      <c r="B90" s="109"/>
    </row>
    <row r="91" spans="2:10">
      <c r="B91" s="109"/>
      <c r="D91" s="5" t="s">
        <v>231</v>
      </c>
      <c r="G91" s="5" t="s">
        <v>232</v>
      </c>
    </row>
    <row r="92" spans="2:10">
      <c r="B92" s="109"/>
      <c r="D92" t="s">
        <v>233</v>
      </c>
      <c r="E92" s="15">
        <f>I33/SUM(I33:I34)</f>
        <v>0.5714285714285714</v>
      </c>
      <c r="G92" t="s">
        <v>234</v>
      </c>
      <c r="H92" s="15">
        <f>'System Assumptions'!I11/SUM('System Assumptions'!I10:I11,I33:I34)</f>
        <v>0.14190416416190313</v>
      </c>
    </row>
    <row r="93" spans="2:10">
      <c r="B93" s="109"/>
      <c r="D93" t="s">
        <v>235</v>
      </c>
      <c r="E93" s="15">
        <f>1-E92</f>
        <v>0.4285714285714286</v>
      </c>
      <c r="G93" t="s">
        <v>236</v>
      </c>
      <c r="H93" s="15">
        <f>I33/SUM('System Assumptions'!I10:I11,I33:I34)</f>
        <v>0.34633181962667831</v>
      </c>
    </row>
    <row r="94" spans="2:10">
      <c r="B94" s="109"/>
      <c r="G94" t="s">
        <v>237</v>
      </c>
      <c r="H94" s="15">
        <f>I34/SUM('System Assumptions'!I10:I11,I33:I34)</f>
        <v>0.25974886472000869</v>
      </c>
    </row>
    <row r="95" spans="2:10">
      <c r="B95" s="109"/>
      <c r="G95" t="s">
        <v>111</v>
      </c>
      <c r="H95" s="15">
        <f>1-SUM(H92:H94)</f>
        <v>0.25201515149140985</v>
      </c>
    </row>
    <row r="96" spans="2:10">
      <c r="B96" s="109"/>
      <c r="D96" s="5" t="s">
        <v>238</v>
      </c>
      <c r="F96" s="21">
        <f>1-E97</f>
        <v>0.4285714285714286</v>
      </c>
    </row>
    <row r="97" spans="2:8">
      <c r="B97" s="109"/>
      <c r="D97" t="s">
        <v>239</v>
      </c>
      <c r="E97" s="15">
        <f>I33/'Hydrological Data Model'!I35</f>
        <v>0.5714285714285714</v>
      </c>
      <c r="F97" s="21">
        <f>1-E98</f>
        <v>0.5714285714285714</v>
      </c>
      <c r="G97" s="5" t="s">
        <v>240</v>
      </c>
    </row>
    <row r="98" spans="2:8">
      <c r="B98" s="109"/>
      <c r="D98" t="s">
        <v>241</v>
      </c>
      <c r="E98" s="15">
        <f>I34/I35</f>
        <v>0.42857142857142855</v>
      </c>
      <c r="G98" t="s">
        <v>239</v>
      </c>
      <c r="H98" s="15">
        <f>SUM(E33,'System Assumptions'!E11)/'System Assumptions'!F33</f>
        <v>0.35852647233946144</v>
      </c>
    </row>
    <row r="99" spans="2:8">
      <c r="B99" s="109"/>
      <c r="G99" t="s">
        <v>241</v>
      </c>
      <c r="H99" s="15">
        <f>SUM('System Assumptions'!E10,E34)/'System Assumptions'!F33</f>
        <v>0.37580401020940124</v>
      </c>
    </row>
    <row r="100" spans="2:8">
      <c r="B100" s="109"/>
      <c r="D100" s="5" t="s">
        <v>242</v>
      </c>
    </row>
    <row r="101" spans="2:8">
      <c r="B101" s="109"/>
      <c r="D101" t="s">
        <v>239</v>
      </c>
      <c r="E101" s="15">
        <v>1</v>
      </c>
    </row>
    <row r="102" spans="2:8">
      <c r="B102" s="109"/>
      <c r="D102" t="s">
        <v>241</v>
      </c>
      <c r="E102" s="15">
        <f>(I33-'System Assumptions'!I12)/I34</f>
        <v>0.90942007600996166</v>
      </c>
    </row>
    <row r="103" spans="2:8">
      <c r="B103" s="109"/>
    </row>
    <row r="104" spans="2:8">
      <c r="B104" s="109"/>
    </row>
    <row r="105" spans="2:8">
      <c r="B105" s="109"/>
    </row>
    <row r="106" spans="2:8">
      <c r="B106" s="109"/>
    </row>
    <row r="107" spans="2:8">
      <c r="B107" s="109"/>
    </row>
    <row r="108" spans="2:8">
      <c r="B108" s="109"/>
    </row>
    <row r="109" spans="2:8">
      <c r="B109" s="109"/>
    </row>
  </sheetData>
  <mergeCells count="5">
    <mergeCell ref="L13:M14"/>
    <mergeCell ref="AE7:AH21"/>
    <mergeCell ref="L4:M6"/>
    <mergeCell ref="L10:M12"/>
    <mergeCell ref="L7:M8"/>
  </mergeCells>
  <conditionalFormatting sqref="E65">
    <cfRule type="cellIs" dxfId="13" priority="13" operator="lessThan">
      <formula>0</formula>
    </cfRule>
    <cfRule type="cellIs" dxfId="12" priority="14" operator="greaterThan">
      <formula>0</formula>
    </cfRule>
  </conditionalFormatting>
  <conditionalFormatting sqref="I65">
    <cfRule type="cellIs" dxfId="11" priority="11" operator="lessThan">
      <formula>0</formula>
    </cfRule>
    <cfRule type="cellIs" dxfId="10" priority="12" operator="greaterThan">
      <formula>0</formula>
    </cfRule>
  </conditionalFormatting>
  <conditionalFormatting sqref="E53">
    <cfRule type="cellIs" dxfId="9" priority="9" operator="lessThan">
      <formula>0</formula>
    </cfRule>
    <cfRule type="cellIs" dxfId="8" priority="10" operator="greaterThan">
      <formula>0</formula>
    </cfRule>
  </conditionalFormatting>
  <conditionalFormatting sqref="E62">
    <cfRule type="cellIs" dxfId="7" priority="7" operator="lessThan">
      <formula>0</formula>
    </cfRule>
    <cfRule type="cellIs" dxfId="6" priority="8" operator="greaterThan">
      <formula>0</formula>
    </cfRule>
  </conditionalFormatting>
  <conditionalFormatting sqref="I62">
    <cfRule type="cellIs" dxfId="5" priority="5" operator="lessThan">
      <formula>0</formula>
    </cfRule>
    <cfRule type="cellIs" dxfId="4" priority="6" operator="greaterThan">
      <formula>0</formula>
    </cfRule>
  </conditionalFormatting>
  <conditionalFormatting sqref="I53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E6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U663"/>
  <sheetViews>
    <sheetView workbookViewId="0">
      <selection activeCell="K5" sqref="K5"/>
    </sheetView>
  </sheetViews>
  <sheetFormatPr defaultRowHeight="15"/>
  <cols>
    <col min="1" max="2" width="9.140625" style="3"/>
    <col min="3" max="3" width="16.42578125" style="43" customWidth="1"/>
    <col min="4" max="4" width="19.42578125" style="44" customWidth="1"/>
    <col min="5" max="5" width="23.28515625" style="44" bestFit="1" customWidth="1"/>
    <col min="6" max="6" width="18.28515625" style="44" bestFit="1" customWidth="1"/>
    <col min="7" max="7" width="19.85546875" style="44" bestFit="1" customWidth="1"/>
    <col min="8" max="8" width="19.85546875" style="44" customWidth="1"/>
    <col min="9" max="9" width="19.85546875" style="92" customWidth="1"/>
    <col min="10" max="10" width="19.85546875" style="44" customWidth="1"/>
    <col min="11" max="11" width="16.42578125" style="50" customWidth="1"/>
    <col min="12" max="12" width="21.140625" style="51" bestFit="1" customWidth="1"/>
    <col min="13" max="13" width="18.140625" style="52" customWidth="1"/>
    <col min="14" max="14" width="16" style="52" customWidth="1"/>
    <col min="15" max="15" width="17.85546875" style="52" customWidth="1"/>
    <col min="16" max="16" width="18.28515625" style="52" customWidth="1"/>
    <col min="17" max="17" width="19.85546875" style="52" customWidth="1"/>
    <col min="18" max="18" width="24.140625" style="51" bestFit="1" customWidth="1"/>
    <col min="19" max="19" width="8.7109375" style="52"/>
    <col min="21" max="21" width="9.5703125" bestFit="1" customWidth="1"/>
  </cols>
  <sheetData>
    <row r="1" spans="1:21">
      <c r="A1" s="159" t="s">
        <v>243</v>
      </c>
      <c r="B1" s="160"/>
      <c r="C1" s="161" t="s">
        <v>244</v>
      </c>
      <c r="D1" s="162"/>
      <c r="E1" s="162"/>
      <c r="F1" s="162"/>
      <c r="G1" s="162"/>
      <c r="H1" s="162"/>
      <c r="I1" s="162"/>
      <c r="J1" s="163"/>
      <c r="K1" s="161" t="s">
        <v>245</v>
      </c>
      <c r="L1" s="162"/>
      <c r="M1" s="162"/>
      <c r="N1" s="162"/>
      <c r="O1" s="162"/>
      <c r="P1" s="162"/>
      <c r="Q1" s="162"/>
      <c r="R1" s="162"/>
      <c r="S1" s="163"/>
    </row>
    <row r="2" spans="1:21" s="57" customFormat="1" ht="45">
      <c r="A2" s="39" t="s">
        <v>246</v>
      </c>
      <c r="B2" s="39" t="s">
        <v>247</v>
      </c>
      <c r="C2" s="55" t="s">
        <v>248</v>
      </c>
      <c r="D2" s="55" t="s">
        <v>249</v>
      </c>
      <c r="E2" s="55" t="s">
        <v>250</v>
      </c>
      <c r="F2" s="55" t="s">
        <v>251</v>
      </c>
      <c r="G2" s="55" t="s">
        <v>252</v>
      </c>
      <c r="H2" s="55" t="s">
        <v>253</v>
      </c>
      <c r="I2" s="91" t="s">
        <v>254</v>
      </c>
      <c r="J2" s="56" t="s">
        <v>255</v>
      </c>
      <c r="K2" s="54" t="s">
        <v>256</v>
      </c>
      <c r="L2" s="54" t="s">
        <v>257</v>
      </c>
      <c r="M2" s="54" t="s">
        <v>258</v>
      </c>
      <c r="N2" s="54" t="s">
        <v>259</v>
      </c>
      <c r="O2" s="54" t="s">
        <v>260</v>
      </c>
      <c r="P2" s="54" t="s">
        <v>261</v>
      </c>
      <c r="Q2" s="54" t="s">
        <v>262</v>
      </c>
      <c r="R2" s="54" t="s">
        <v>263</v>
      </c>
      <c r="S2" s="54" t="s">
        <v>264</v>
      </c>
    </row>
    <row r="3" spans="1:21">
      <c r="A3" s="3">
        <v>1</v>
      </c>
      <c r="B3" s="3">
        <v>1</v>
      </c>
      <c r="C3" s="40">
        <f>'System Assumptions'!F33</f>
        <v>8664772177.1519985</v>
      </c>
      <c r="D3" s="41">
        <f>'System Assumptions'!$E$11/12</f>
        <v>75242280</v>
      </c>
      <c r="E3" s="41">
        <f>-'System Assumptions'!$E$10/12</f>
        <v>-133627000</v>
      </c>
      <c r="F3" s="41">
        <f>IF('System Assumptions'!$E$28&lt;'System Assumptions'!$E$29,'Hydrological Data Model'!$E$33/12,'Hydrological Data Model'!$E$33/12)</f>
        <v>183636903.52495179</v>
      </c>
      <c r="G3" s="42">
        <f>IF('System Assumptions'!$E$28&lt;='System Assumptions'!$E$29,0,-'Hydrological Data Model'!$E$34/12)</f>
        <v>0</v>
      </c>
      <c r="H3" s="42">
        <f t="shared" ref="H3:H66" si="0">SUM(C3:G3)</f>
        <v>8790024360.6769505</v>
      </c>
      <c r="I3" s="106">
        <f>H3/'System Assumptions'!$F$15</f>
        <v>9.894591554336575</v>
      </c>
      <c r="J3" s="42">
        <f>'System Assumptions'!$E$30+'System Assumptions'!$E$28-'Data Model Calculations'!I3</f>
        <v>69.859008445663434</v>
      </c>
      <c r="K3" s="45">
        <f>'System Assumptions'!$F$19</f>
        <v>75</v>
      </c>
      <c r="L3" s="46">
        <f>K3/1000*(C3*1000000)</f>
        <v>649857913286399.88</v>
      </c>
      <c r="M3" s="47">
        <f>D3/1000*('System Assumptions'!$F$20*1000000)</f>
        <v>276691425000.00018</v>
      </c>
      <c r="N3" s="48"/>
      <c r="O3" s="49">
        <f>(F3/1000)*('System Assumptions'!$F$21*1000000)</f>
        <v>6427291623373.3125</v>
      </c>
      <c r="P3" s="49">
        <f t="shared" ref="P3:P66" si="1">(G3*1000000)*K3/1000</f>
        <v>0</v>
      </c>
      <c r="Q3" s="48">
        <f>SUM(L3:P3)</f>
        <v>656561896334773.25</v>
      </c>
      <c r="R3" s="53">
        <f>(Q3*1000)/(H3*1000000)</f>
        <v>74.693979151180557</v>
      </c>
      <c r="S3" s="52">
        <v>35</v>
      </c>
      <c r="U3" s="59"/>
    </row>
    <row r="4" spans="1:21">
      <c r="A4" s="3">
        <f>IF(B4=1,A3+1,A3)</f>
        <v>1</v>
      </c>
      <c r="B4" s="3">
        <v>2</v>
      </c>
      <c r="C4" s="40">
        <f>H3</f>
        <v>8790024360.6769505</v>
      </c>
      <c r="D4" s="41">
        <f>'System Assumptions'!$E$11/12</f>
        <v>75242280</v>
      </c>
      <c r="E4" s="41">
        <f>-'System Assumptions'!$E$10/12</f>
        <v>-133627000</v>
      </c>
      <c r="F4" s="41">
        <f>IF(I3&lt;'System Assumptions'!$E$29,'Hydrological Data Model'!$E$33/12,'Hydrological Data Model'!$E$33/12)</f>
        <v>183636903.52495179</v>
      </c>
      <c r="G4" s="42">
        <f>IF(I3&lt;'System Assumptions'!$E$29,0,-(MIN('Hydrological Data Model'!$E$34,'Hydrological Data Model'!$E$33-'System Assumptions'!$E$12))/12)</f>
        <v>0</v>
      </c>
      <c r="H4" s="42">
        <f t="shared" si="0"/>
        <v>8915276544.2019024</v>
      </c>
      <c r="I4" s="106">
        <f>H4/'System Assumptions'!$F$15</f>
        <v>10.03558310867315</v>
      </c>
      <c r="J4" s="42">
        <f>'System Assumptions'!$E$30+'System Assumptions'!$E$28-'Data Model Calculations'!I4</f>
        <v>69.718016891326855</v>
      </c>
      <c r="K4" s="45">
        <f t="shared" ref="K4:K67" si="2">R3</f>
        <v>74.693979151180557</v>
      </c>
      <c r="L4" s="46">
        <f>Q3</f>
        <v>656561896334773.25</v>
      </c>
      <c r="M4" s="47">
        <f>D4/1000*('System Assumptions'!$F$20*1000000)</f>
        <v>276691425000.00018</v>
      </c>
      <c r="N4" s="48"/>
      <c r="O4" s="49">
        <f>(F4/1000)*('System Assumptions'!$F$21*1000000)</f>
        <v>6427291623373.3125</v>
      </c>
      <c r="P4" s="49">
        <f t="shared" si="1"/>
        <v>0</v>
      </c>
      <c r="Q4" s="48">
        <f>SUM(L4:P4)</f>
        <v>663265879383146.5</v>
      </c>
      <c r="R4" s="53">
        <f>(Q4*1000)/(H4*1000000)</f>
        <v>74.396556976631871</v>
      </c>
      <c r="S4" s="52">
        <v>35</v>
      </c>
    </row>
    <row r="5" spans="1:21">
      <c r="A5" s="3">
        <f t="shared" ref="A5:A68" si="3">IF(MOD(B5,12)=1,A4+1,A4)</f>
        <v>1</v>
      </c>
      <c r="B5" s="3">
        <v>3</v>
      </c>
      <c r="C5" s="40">
        <f t="shared" ref="C5:C36" si="4">H4</f>
        <v>8915276544.2019024</v>
      </c>
      <c r="D5" s="41">
        <f>'System Assumptions'!$E$11/12</f>
        <v>75242280</v>
      </c>
      <c r="E5" s="41">
        <f>-'System Assumptions'!$E$10/12</f>
        <v>-133627000</v>
      </c>
      <c r="F5" s="41">
        <f>IF(I4&lt;'System Assumptions'!$E$29,'Hydrological Data Model'!$E$33/12,'Hydrological Data Model'!$E$33/12)</f>
        <v>183636903.52495179</v>
      </c>
      <c r="G5" s="42">
        <f>IF(I4&lt;'System Assumptions'!$E$29,0,-(MIN('Hydrological Data Model'!$E$34,'Hydrological Data Model'!$E$33-'System Assumptions'!$E$12))/12)</f>
        <v>0</v>
      </c>
      <c r="H5" s="42">
        <f t="shared" si="0"/>
        <v>9040528727.7268543</v>
      </c>
      <c r="I5" s="106">
        <f>H5/'System Assumptions'!$F$15</f>
        <v>10.176574663009726</v>
      </c>
      <c r="J5" s="42">
        <f>'System Assumptions'!$E$30+'System Assumptions'!$E$28-'Data Model Calculations'!I5</f>
        <v>69.577025336990275</v>
      </c>
      <c r="K5" s="45">
        <f t="shared" si="2"/>
        <v>74.396556976631871</v>
      </c>
      <c r="L5" s="46">
        <f t="shared" ref="L5:L36" si="5">Q4</f>
        <v>663265879383146.5</v>
      </c>
      <c r="M5" s="47">
        <f>D5/1000*('System Assumptions'!$F$20*1000000)</f>
        <v>276691425000.00018</v>
      </c>
      <c r="N5" s="48"/>
      <c r="O5" s="49">
        <f>(F5/1000)*('System Assumptions'!$F$21*1000000)</f>
        <v>6427291623373.3125</v>
      </c>
      <c r="P5" s="49">
        <f t="shared" si="1"/>
        <v>0</v>
      </c>
      <c r="Q5" s="48">
        <f t="shared" ref="Q5:Q36" si="6">SUM(L5:P5)</f>
        <v>669969862431519.75</v>
      </c>
      <c r="R5" s="53">
        <f t="shared" ref="R5:R36" si="7">(Q5*1000)/(H5*1000000)</f>
        <v>74.10737608484726</v>
      </c>
      <c r="S5" s="52">
        <v>35</v>
      </c>
    </row>
    <row r="6" spans="1:21">
      <c r="A6" s="3">
        <f t="shared" si="3"/>
        <v>1</v>
      </c>
      <c r="B6" s="3">
        <v>4</v>
      </c>
      <c r="C6" s="40">
        <f t="shared" si="4"/>
        <v>9040528727.7268543</v>
      </c>
      <c r="D6" s="41">
        <f>'System Assumptions'!$E$11/12</f>
        <v>75242280</v>
      </c>
      <c r="E6" s="41">
        <f>-'System Assumptions'!$E$10/12</f>
        <v>-133627000</v>
      </c>
      <c r="F6" s="41">
        <f>IF(I5&lt;'System Assumptions'!$E$29,'Hydrological Data Model'!$E$33/12,'Hydrological Data Model'!$E$33/12)</f>
        <v>183636903.52495179</v>
      </c>
      <c r="G6" s="42">
        <f>IF(I5&lt;'System Assumptions'!$E$29,0,-(MIN('Hydrological Data Model'!$E$34,'Hydrological Data Model'!$E$33-'System Assumptions'!$E$12))/12)</f>
        <v>0</v>
      </c>
      <c r="H6" s="42">
        <f t="shared" si="0"/>
        <v>9165780911.2518063</v>
      </c>
      <c r="I6" s="106">
        <f>H6/'System Assumptions'!$F$15</f>
        <v>10.3175662173463</v>
      </c>
      <c r="J6" s="42">
        <f>'System Assumptions'!$E$30+'System Assumptions'!$E$28-'Data Model Calculations'!I6</f>
        <v>69.436033782653709</v>
      </c>
      <c r="K6" s="45">
        <f t="shared" si="2"/>
        <v>74.10737608484726</v>
      </c>
      <c r="L6" s="46">
        <f t="shared" si="5"/>
        <v>669969862431519.75</v>
      </c>
      <c r="M6" s="47">
        <f>D6/1000*('System Assumptions'!$F$20*1000000)</f>
        <v>276691425000.00018</v>
      </c>
      <c r="N6" s="48"/>
      <c r="O6" s="49">
        <f>(F6/1000)*('System Assumptions'!$F$21*1000000)</f>
        <v>6427291623373.3125</v>
      </c>
      <c r="P6" s="49">
        <f t="shared" si="1"/>
        <v>0</v>
      </c>
      <c r="Q6" s="48">
        <f t="shared" si="6"/>
        <v>676673845479893</v>
      </c>
      <c r="R6" s="53">
        <f t="shared" si="7"/>
        <v>73.826098619618548</v>
      </c>
      <c r="S6" s="52">
        <v>35</v>
      </c>
    </row>
    <row r="7" spans="1:21">
      <c r="A7" s="3">
        <f t="shared" si="3"/>
        <v>1</v>
      </c>
      <c r="B7" s="3">
        <v>5</v>
      </c>
      <c r="C7" s="40">
        <f t="shared" si="4"/>
        <v>9165780911.2518063</v>
      </c>
      <c r="D7" s="41">
        <f>'System Assumptions'!$E$11/12</f>
        <v>75242280</v>
      </c>
      <c r="E7" s="41">
        <f>-'System Assumptions'!$E$10/12</f>
        <v>-133627000</v>
      </c>
      <c r="F7" s="41">
        <f>IF(I6&lt;'System Assumptions'!$E$29,'Hydrological Data Model'!$E$33/12,'Hydrological Data Model'!$E$33/12)</f>
        <v>183636903.52495179</v>
      </c>
      <c r="G7" s="42">
        <f>IF(I6&lt;'System Assumptions'!$E$29,0,-(MIN('Hydrological Data Model'!$E$34,'Hydrological Data Model'!$E$33-'System Assumptions'!$E$12))/12)</f>
        <v>0</v>
      </c>
      <c r="H7" s="42">
        <f t="shared" si="0"/>
        <v>9291033094.7767582</v>
      </c>
      <c r="I7" s="106">
        <f>H7/'System Assumptions'!$F$15</f>
        <v>10.458557771682877</v>
      </c>
      <c r="J7" s="42">
        <f>'System Assumptions'!$E$30+'System Assumptions'!$E$28-'Data Model Calculations'!I7</f>
        <v>69.295042228317129</v>
      </c>
      <c r="K7" s="45">
        <f t="shared" si="2"/>
        <v>73.826098619618548</v>
      </c>
      <c r="L7" s="46">
        <f t="shared" si="5"/>
        <v>676673845479893</v>
      </c>
      <c r="M7" s="47">
        <f>D7/1000*('System Assumptions'!$F$20*1000000)</f>
        <v>276691425000.00018</v>
      </c>
      <c r="N7" s="48"/>
      <c r="O7" s="49">
        <f>(F7/1000)*('System Assumptions'!$F$21*1000000)</f>
        <v>6427291623373.3125</v>
      </c>
      <c r="P7" s="49">
        <f t="shared" si="1"/>
        <v>0</v>
      </c>
      <c r="Q7" s="48">
        <f t="shared" si="6"/>
        <v>683377828528266.25</v>
      </c>
      <c r="R7" s="53">
        <f t="shared" si="7"/>
        <v>73.55240494326172</v>
      </c>
      <c r="S7" s="52">
        <v>35</v>
      </c>
    </row>
    <row r="8" spans="1:21">
      <c r="A8" s="3">
        <f t="shared" si="3"/>
        <v>1</v>
      </c>
      <c r="B8" s="3">
        <v>6</v>
      </c>
      <c r="C8" s="40">
        <f t="shared" si="4"/>
        <v>9291033094.7767582</v>
      </c>
      <c r="D8" s="41">
        <f>'System Assumptions'!$E$11/12</f>
        <v>75242280</v>
      </c>
      <c r="E8" s="41">
        <f>-'System Assumptions'!$E$10/12</f>
        <v>-133627000</v>
      </c>
      <c r="F8" s="41">
        <f>IF(I7&lt;'System Assumptions'!$E$29,'Hydrological Data Model'!$E$33/12,'Hydrological Data Model'!$E$33/12)</f>
        <v>183636903.52495179</v>
      </c>
      <c r="G8" s="42">
        <f>IF(I7&lt;'System Assumptions'!$E$29,0,-(MIN('Hydrological Data Model'!$E$34,'Hydrological Data Model'!$E$33-'System Assumptions'!$E$12))/12)</f>
        <v>0</v>
      </c>
      <c r="H8" s="42">
        <f t="shared" si="0"/>
        <v>9416285278.3017101</v>
      </c>
      <c r="I8" s="106">
        <f>H8/'System Assumptions'!$F$15</f>
        <v>10.599549326019451</v>
      </c>
      <c r="J8" s="42">
        <f>'System Assumptions'!$E$30+'System Assumptions'!$E$28-'Data Model Calculations'!I8</f>
        <v>69.154050673980549</v>
      </c>
      <c r="K8" s="45">
        <f t="shared" si="2"/>
        <v>73.55240494326172</v>
      </c>
      <c r="L8" s="46">
        <f t="shared" si="5"/>
        <v>683377828528266.25</v>
      </c>
      <c r="M8" s="47">
        <f>D8/1000*('System Assumptions'!$F$20*1000000)</f>
        <v>276691425000.00018</v>
      </c>
      <c r="N8" s="48"/>
      <c r="O8" s="49">
        <f>(F8/1000)*('System Assumptions'!$F$21*1000000)</f>
        <v>6427291623373.3125</v>
      </c>
      <c r="P8" s="49">
        <f t="shared" si="1"/>
        <v>0</v>
      </c>
      <c r="Q8" s="48">
        <f t="shared" si="6"/>
        <v>690081811576639.5</v>
      </c>
      <c r="R8" s="53">
        <f t="shared" si="7"/>
        <v>73.285992424934307</v>
      </c>
      <c r="S8" s="52">
        <v>35</v>
      </c>
    </row>
    <row r="9" spans="1:21">
      <c r="A9" s="3">
        <f t="shared" si="3"/>
        <v>1</v>
      </c>
      <c r="B9" s="3">
        <v>7</v>
      </c>
      <c r="C9" s="40">
        <f t="shared" si="4"/>
        <v>9416285278.3017101</v>
      </c>
      <c r="D9" s="41">
        <f>'System Assumptions'!$E$11/12</f>
        <v>75242280</v>
      </c>
      <c r="E9" s="41">
        <f>-'System Assumptions'!$E$10/12</f>
        <v>-133627000</v>
      </c>
      <c r="F9" s="41">
        <f>IF(I8&lt;'System Assumptions'!$E$29,'Hydrological Data Model'!$E$33/12,'Hydrological Data Model'!$E$33/12)</f>
        <v>183636903.52495179</v>
      </c>
      <c r="G9" s="42">
        <f>IF(I8&lt;'System Assumptions'!$E$29,0,-(MIN('Hydrological Data Model'!$E$34,'Hydrological Data Model'!$E$33-'System Assumptions'!$E$12))/12)</f>
        <v>0</v>
      </c>
      <c r="H9" s="42">
        <f t="shared" si="0"/>
        <v>9541537461.8266621</v>
      </c>
      <c r="I9" s="106">
        <f>H9/'System Assumptions'!$F$15</f>
        <v>10.740540880356026</v>
      </c>
      <c r="J9" s="42">
        <f>'System Assumptions'!$E$30+'System Assumptions'!$E$28-'Data Model Calculations'!I9</f>
        <v>69.013059119643984</v>
      </c>
      <c r="K9" s="45">
        <f t="shared" si="2"/>
        <v>73.285992424934307</v>
      </c>
      <c r="L9" s="46">
        <f t="shared" si="5"/>
        <v>690081811576639.5</v>
      </c>
      <c r="M9" s="47">
        <f>D9/1000*('System Assumptions'!$F$20*1000000)</f>
        <v>276691425000.00018</v>
      </c>
      <c r="N9" s="48"/>
      <c r="O9" s="49">
        <f>(F9/1000)*('System Assumptions'!$F$21*1000000)</f>
        <v>6427291623373.3125</v>
      </c>
      <c r="P9" s="49">
        <f t="shared" si="1"/>
        <v>0</v>
      </c>
      <c r="Q9" s="48">
        <f t="shared" si="6"/>
        <v>696785794625012.75</v>
      </c>
      <c r="R9" s="53">
        <f t="shared" si="7"/>
        <v>73.026574324387539</v>
      </c>
      <c r="S9" s="52">
        <v>35</v>
      </c>
    </row>
    <row r="10" spans="1:21">
      <c r="A10" s="3">
        <f t="shared" si="3"/>
        <v>1</v>
      </c>
      <c r="B10" s="3">
        <v>8</v>
      </c>
      <c r="C10" s="40">
        <f t="shared" si="4"/>
        <v>9541537461.8266621</v>
      </c>
      <c r="D10" s="41">
        <f>'System Assumptions'!$E$11/12</f>
        <v>75242280</v>
      </c>
      <c r="E10" s="41">
        <f>-'System Assumptions'!$E$10/12</f>
        <v>-133627000</v>
      </c>
      <c r="F10" s="41">
        <f>IF(I9&lt;'System Assumptions'!$E$29,'Hydrological Data Model'!$E$33/12,'Hydrological Data Model'!$E$33/12)</f>
        <v>183636903.52495179</v>
      </c>
      <c r="G10" s="42">
        <f>IF(I9&lt;'System Assumptions'!$E$29,0,-(MIN('Hydrological Data Model'!$E$34,'Hydrological Data Model'!$E$33-'System Assumptions'!$E$12))/12)</f>
        <v>0</v>
      </c>
      <c r="H10" s="42">
        <f t="shared" si="0"/>
        <v>9666789645.351614</v>
      </c>
      <c r="I10" s="106">
        <f>H10/'System Assumptions'!$F$15</f>
        <v>10.881532434692602</v>
      </c>
      <c r="J10" s="42">
        <f>'System Assumptions'!$E$30+'System Assumptions'!$E$28-'Data Model Calculations'!I10</f>
        <v>68.872067565307404</v>
      </c>
      <c r="K10" s="45">
        <f t="shared" si="2"/>
        <v>73.026574324387539</v>
      </c>
      <c r="L10" s="46">
        <f t="shared" si="5"/>
        <v>696785794625012.75</v>
      </c>
      <c r="M10" s="47">
        <f>D10/1000*('System Assumptions'!$F$20*1000000)</f>
        <v>276691425000.00018</v>
      </c>
      <c r="N10" s="48"/>
      <c r="O10" s="49">
        <f>(F10/1000)*('System Assumptions'!$F$21*1000000)</f>
        <v>6427291623373.3125</v>
      </c>
      <c r="P10" s="49">
        <f t="shared" si="1"/>
        <v>0</v>
      </c>
      <c r="Q10" s="48">
        <f t="shared" si="6"/>
        <v>703489777673386</v>
      </c>
      <c r="R10" s="53">
        <f t="shared" si="7"/>
        <v>72.773878762497645</v>
      </c>
      <c r="S10" s="52">
        <v>35</v>
      </c>
    </row>
    <row r="11" spans="1:21">
      <c r="A11" s="3">
        <f t="shared" si="3"/>
        <v>1</v>
      </c>
      <c r="B11" s="3">
        <v>9</v>
      </c>
      <c r="C11" s="40">
        <f t="shared" si="4"/>
        <v>9666789645.351614</v>
      </c>
      <c r="D11" s="41">
        <f>'System Assumptions'!$E$11/12</f>
        <v>75242280</v>
      </c>
      <c r="E11" s="41">
        <f>-'System Assumptions'!$E$10/12</f>
        <v>-133627000</v>
      </c>
      <c r="F11" s="41">
        <f>IF(I10&lt;'System Assumptions'!$E$29,'Hydrological Data Model'!$E$33/12,'Hydrological Data Model'!$E$33/12)</f>
        <v>183636903.52495179</v>
      </c>
      <c r="G11" s="42">
        <f>IF(I10&lt;'System Assumptions'!$E$29,0,-(MIN('Hydrological Data Model'!$E$34,'Hydrological Data Model'!$E$33-'System Assumptions'!$E$12))/12)</f>
        <v>0</v>
      </c>
      <c r="H11" s="42">
        <f t="shared" si="0"/>
        <v>9792041828.8765659</v>
      </c>
      <c r="I11" s="106">
        <f>H11/'System Assumptions'!$F$15</f>
        <v>11.022523989029176</v>
      </c>
      <c r="J11" s="42">
        <f>'System Assumptions'!$E$30+'System Assumptions'!$E$28-'Data Model Calculations'!I11</f>
        <v>68.731076010970824</v>
      </c>
      <c r="K11" s="45">
        <f t="shared" si="2"/>
        <v>72.773878762497645</v>
      </c>
      <c r="L11" s="46">
        <f t="shared" si="5"/>
        <v>703489777673386</v>
      </c>
      <c r="M11" s="47">
        <f>D11/1000*('System Assumptions'!$F$20*1000000)</f>
        <v>276691425000.00018</v>
      </c>
      <c r="N11" s="48"/>
      <c r="O11" s="49">
        <f>(F11/1000)*('System Assumptions'!$F$21*1000000)</f>
        <v>6427291623373.3125</v>
      </c>
      <c r="P11" s="49">
        <f t="shared" si="1"/>
        <v>0</v>
      </c>
      <c r="Q11" s="48">
        <f t="shared" si="6"/>
        <v>710193760721759.25</v>
      </c>
      <c r="R11" s="53">
        <f t="shared" si="7"/>
        <v>72.52764777080607</v>
      </c>
      <c r="S11" s="52">
        <v>35</v>
      </c>
    </row>
    <row r="12" spans="1:21">
      <c r="A12" s="3">
        <f t="shared" si="3"/>
        <v>1</v>
      </c>
      <c r="B12" s="3">
        <v>10</v>
      </c>
      <c r="C12" s="40">
        <f t="shared" si="4"/>
        <v>9792041828.8765659</v>
      </c>
      <c r="D12" s="41">
        <f>'System Assumptions'!$E$11/12</f>
        <v>75242280</v>
      </c>
      <c r="E12" s="41">
        <f>-'System Assumptions'!$E$10/12</f>
        <v>-133627000</v>
      </c>
      <c r="F12" s="41">
        <f>IF(I11&lt;'System Assumptions'!$E$29,'Hydrological Data Model'!$E$33/12,'Hydrological Data Model'!$E$33/12)</f>
        <v>183636903.52495179</v>
      </c>
      <c r="G12" s="42">
        <f>IF(I11&lt;'System Assumptions'!$E$29,0,-(MIN('Hydrological Data Model'!$E$34,'Hydrological Data Model'!$E$33-'System Assumptions'!$E$12))/12)</f>
        <v>0</v>
      </c>
      <c r="H12" s="42">
        <f t="shared" si="0"/>
        <v>9917294012.4015179</v>
      </c>
      <c r="I12" s="106">
        <f>H12/'System Assumptions'!$F$15</f>
        <v>11.163515543365753</v>
      </c>
      <c r="J12" s="42">
        <f>'System Assumptions'!$E$30+'System Assumptions'!$E$28-'Data Model Calculations'!I12</f>
        <v>68.590084456634258</v>
      </c>
      <c r="K12" s="45">
        <f t="shared" si="2"/>
        <v>72.52764777080607</v>
      </c>
      <c r="L12" s="46">
        <f t="shared" si="5"/>
        <v>710193760721759.25</v>
      </c>
      <c r="M12" s="47">
        <f>D12/1000*('System Assumptions'!$F$20*1000000)</f>
        <v>276691425000.00018</v>
      </c>
      <c r="N12" s="48"/>
      <c r="O12" s="49">
        <f>(F12/1000)*('System Assumptions'!$F$21*1000000)</f>
        <v>6427291623373.3125</v>
      </c>
      <c r="P12" s="49">
        <f t="shared" si="1"/>
        <v>0</v>
      </c>
      <c r="Q12" s="48">
        <f t="shared" si="6"/>
        <v>716897743770132.5</v>
      </c>
      <c r="R12" s="53">
        <f t="shared" si="7"/>
        <v>72.287636413083661</v>
      </c>
      <c r="S12" s="52">
        <v>35</v>
      </c>
    </row>
    <row r="13" spans="1:21">
      <c r="A13" s="3">
        <f t="shared" si="3"/>
        <v>1</v>
      </c>
      <c r="B13" s="3">
        <v>11</v>
      </c>
      <c r="C13" s="40">
        <f t="shared" si="4"/>
        <v>9917294012.4015179</v>
      </c>
      <c r="D13" s="41">
        <f>'System Assumptions'!$E$11/12</f>
        <v>75242280</v>
      </c>
      <c r="E13" s="41">
        <f>-'System Assumptions'!$E$10/12</f>
        <v>-133627000</v>
      </c>
      <c r="F13" s="41">
        <f>IF(I12&lt;'System Assumptions'!$E$29,'Hydrological Data Model'!$E$33/12,'Hydrological Data Model'!$E$33/12)</f>
        <v>183636903.52495179</v>
      </c>
      <c r="G13" s="42">
        <f>IF(I12&lt;'System Assumptions'!$E$29,0,-(MIN('Hydrological Data Model'!$E$34,'Hydrological Data Model'!$E$33-'System Assumptions'!$E$12))/12)</f>
        <v>0</v>
      </c>
      <c r="H13" s="42">
        <f t="shared" si="0"/>
        <v>10042546195.92647</v>
      </c>
      <c r="I13" s="106">
        <f>H13/'System Assumptions'!$F$15</f>
        <v>11.304507097702327</v>
      </c>
      <c r="J13" s="42">
        <f>'System Assumptions'!$E$30+'System Assumptions'!$E$28-'Data Model Calculations'!I13</f>
        <v>68.449092902297679</v>
      </c>
      <c r="K13" s="45">
        <f t="shared" si="2"/>
        <v>72.287636413083661</v>
      </c>
      <c r="L13" s="46">
        <f t="shared" si="5"/>
        <v>716897743770132.5</v>
      </c>
      <c r="M13" s="47">
        <f>D13/1000*('System Assumptions'!$F$20*1000000)</f>
        <v>276691425000.00018</v>
      </c>
      <c r="N13" s="48"/>
      <c r="O13" s="49">
        <f>(F13/1000)*('System Assumptions'!$F$21*1000000)</f>
        <v>6427291623373.3125</v>
      </c>
      <c r="P13" s="49">
        <f t="shared" si="1"/>
        <v>0</v>
      </c>
      <c r="Q13" s="48">
        <f t="shared" si="6"/>
        <v>723601726818505.75</v>
      </c>
      <c r="R13" s="53">
        <f t="shared" si="7"/>
        <v>72.053611972630833</v>
      </c>
      <c r="S13" s="52">
        <v>35</v>
      </c>
    </row>
    <row r="14" spans="1:21">
      <c r="A14" s="3">
        <f t="shared" si="3"/>
        <v>1</v>
      </c>
      <c r="B14" s="3">
        <v>12</v>
      </c>
      <c r="C14" s="40">
        <f t="shared" si="4"/>
        <v>10042546195.92647</v>
      </c>
      <c r="D14" s="41">
        <f>'System Assumptions'!$E$11/12</f>
        <v>75242280</v>
      </c>
      <c r="E14" s="41">
        <f>-'System Assumptions'!$E$10/12</f>
        <v>-133627000</v>
      </c>
      <c r="F14" s="41">
        <f>IF(I13&lt;'System Assumptions'!$E$29,'Hydrological Data Model'!$E$33/12,'Hydrological Data Model'!$E$33/12)</f>
        <v>183636903.52495179</v>
      </c>
      <c r="G14" s="42">
        <f>IF(I13&lt;'System Assumptions'!$E$29,0,-(MIN('Hydrological Data Model'!$E$34,'Hydrological Data Model'!$E$33-'System Assumptions'!$E$12))/12)</f>
        <v>0</v>
      </c>
      <c r="H14" s="42">
        <f t="shared" si="0"/>
        <v>10167798379.451422</v>
      </c>
      <c r="I14" s="106">
        <f>H14/'System Assumptions'!$F$15</f>
        <v>11.445498652038902</v>
      </c>
      <c r="J14" s="42">
        <f>'System Assumptions'!$E$30+'System Assumptions'!$E$28-'Data Model Calculations'!I14</f>
        <v>68.308101347961099</v>
      </c>
      <c r="K14" s="45">
        <f t="shared" si="2"/>
        <v>72.053611972630833</v>
      </c>
      <c r="L14" s="46">
        <f t="shared" si="5"/>
        <v>723601726818505.75</v>
      </c>
      <c r="M14" s="47">
        <f>D14/1000*('System Assumptions'!$F$20*1000000)</f>
        <v>276691425000.00018</v>
      </c>
      <c r="N14" s="48"/>
      <c r="O14" s="49">
        <f>(F14/1000)*('System Assumptions'!$F$21*1000000)</f>
        <v>6427291623373.3125</v>
      </c>
      <c r="P14" s="49">
        <f t="shared" si="1"/>
        <v>0</v>
      </c>
      <c r="Q14" s="48">
        <f t="shared" si="6"/>
        <v>730305709866879</v>
      </c>
      <c r="R14" s="53">
        <f t="shared" si="7"/>
        <v>71.825353199645249</v>
      </c>
      <c r="S14" s="52">
        <v>35</v>
      </c>
    </row>
    <row r="15" spans="1:21">
      <c r="A15" s="3">
        <f t="shared" si="3"/>
        <v>2</v>
      </c>
      <c r="B15" s="3">
        <f>B14+1</f>
        <v>13</v>
      </c>
      <c r="C15" s="40">
        <f t="shared" si="4"/>
        <v>10167798379.451422</v>
      </c>
      <c r="D15" s="41">
        <f>'System Assumptions'!$E$11/12</f>
        <v>75242280</v>
      </c>
      <c r="E15" s="41">
        <f>-'System Assumptions'!$E$10/12</f>
        <v>-133627000</v>
      </c>
      <c r="F15" s="41">
        <f>IF(I14&lt;'System Assumptions'!$E$29,'Hydrological Data Model'!$E$33/12,'Hydrological Data Model'!$E$33/12)</f>
        <v>183636903.52495179</v>
      </c>
      <c r="G15" s="42">
        <f>IF(I14&lt;'System Assumptions'!$E$29,0,-(MIN('Hydrological Data Model'!$E$34,'Hydrological Data Model'!$E$33-'System Assumptions'!$E$12))/12)</f>
        <v>0</v>
      </c>
      <c r="H15" s="42">
        <f t="shared" si="0"/>
        <v>10293050562.976374</v>
      </c>
      <c r="I15" s="106">
        <f>H15/'System Assumptions'!$F$15</f>
        <v>11.586490206375478</v>
      </c>
      <c r="J15" s="42">
        <f>'System Assumptions'!$E$30+'System Assumptions'!$E$28-'Data Model Calculations'!I15</f>
        <v>68.167109793624533</v>
      </c>
      <c r="K15" s="45">
        <f t="shared" si="2"/>
        <v>71.825353199645249</v>
      </c>
      <c r="L15" s="46">
        <f t="shared" si="5"/>
        <v>730305709866879</v>
      </c>
      <c r="M15" s="47">
        <f>D15/1000*('System Assumptions'!$F$20*1000000)</f>
        <v>276691425000.00018</v>
      </c>
      <c r="N15" s="48"/>
      <c r="O15" s="49">
        <f>(F15/1000)*('System Assumptions'!$F$21*1000000)</f>
        <v>6427291623373.3125</v>
      </c>
      <c r="P15" s="49">
        <f t="shared" si="1"/>
        <v>0</v>
      </c>
      <c r="Q15" s="48">
        <f t="shared" si="6"/>
        <v>737009692915252.25</v>
      </c>
      <c r="R15" s="53">
        <f t="shared" si="7"/>
        <v>71.602649613540422</v>
      </c>
      <c r="S15" s="52">
        <v>35</v>
      </c>
    </row>
    <row r="16" spans="1:21">
      <c r="A16" s="3">
        <f t="shared" si="3"/>
        <v>2</v>
      </c>
      <c r="B16" s="3">
        <f t="shared" ref="B16:B79" si="8">B15+1</f>
        <v>14</v>
      </c>
      <c r="C16" s="40">
        <f t="shared" si="4"/>
        <v>10293050562.976374</v>
      </c>
      <c r="D16" s="41">
        <f>'System Assumptions'!$E$11/12</f>
        <v>75242280</v>
      </c>
      <c r="E16" s="41">
        <f>-'System Assumptions'!$E$10/12</f>
        <v>-133627000</v>
      </c>
      <c r="F16" s="41">
        <f>IF(I15&lt;'System Assumptions'!$E$29,'Hydrological Data Model'!$E$33/12,'Hydrological Data Model'!$E$33/12)</f>
        <v>183636903.52495179</v>
      </c>
      <c r="G16" s="42">
        <f>IF(I15&lt;'System Assumptions'!$E$29,0,-(MIN('Hydrological Data Model'!$E$34,'Hydrological Data Model'!$E$33-'System Assumptions'!$E$12))/12)</f>
        <v>0</v>
      </c>
      <c r="H16" s="42">
        <f t="shared" si="0"/>
        <v>10418302746.501326</v>
      </c>
      <c r="I16" s="106">
        <f>H16/'System Assumptions'!$F$15</f>
        <v>11.727481760712053</v>
      </c>
      <c r="J16" s="42">
        <f>'System Assumptions'!$E$30+'System Assumptions'!$E$28-'Data Model Calculations'!I16</f>
        <v>68.026118239287953</v>
      </c>
      <c r="K16" s="45">
        <f t="shared" si="2"/>
        <v>71.602649613540422</v>
      </c>
      <c r="L16" s="46">
        <f t="shared" si="5"/>
        <v>737009692915252.25</v>
      </c>
      <c r="M16" s="47">
        <f>D16/1000*('System Assumptions'!$F$20*1000000)</f>
        <v>276691425000.00018</v>
      </c>
      <c r="N16" s="48"/>
      <c r="O16" s="49">
        <f>(F16/1000)*('System Assumptions'!$F$21*1000000)</f>
        <v>6427291623373.3125</v>
      </c>
      <c r="P16" s="49">
        <f t="shared" si="1"/>
        <v>0</v>
      </c>
      <c r="Q16" s="48">
        <f t="shared" si="6"/>
        <v>743713675963625.5</v>
      </c>
      <c r="R16" s="53">
        <f t="shared" si="7"/>
        <v>71.385300855590842</v>
      </c>
      <c r="S16" s="52">
        <v>35</v>
      </c>
    </row>
    <row r="17" spans="1:19">
      <c r="A17" s="3">
        <f t="shared" si="3"/>
        <v>2</v>
      </c>
      <c r="B17" s="3">
        <f t="shared" si="8"/>
        <v>15</v>
      </c>
      <c r="C17" s="40">
        <f t="shared" si="4"/>
        <v>10418302746.501326</v>
      </c>
      <c r="D17" s="41">
        <f>'System Assumptions'!$E$11/12</f>
        <v>75242280</v>
      </c>
      <c r="E17" s="41">
        <f>-'System Assumptions'!$E$10/12</f>
        <v>-133627000</v>
      </c>
      <c r="F17" s="41">
        <f>IF(I16&lt;'System Assumptions'!$E$29,'Hydrological Data Model'!$E$33/12,'Hydrological Data Model'!$E$33/12)</f>
        <v>183636903.52495179</v>
      </c>
      <c r="G17" s="42">
        <f>IF(I16&lt;'System Assumptions'!$E$29,0,-(MIN('Hydrological Data Model'!$E$34,'Hydrological Data Model'!$E$33-'System Assumptions'!$E$12))/12)</f>
        <v>0</v>
      </c>
      <c r="H17" s="42">
        <f t="shared" si="0"/>
        <v>10543554930.026278</v>
      </c>
      <c r="I17" s="106">
        <f>H17/'System Assumptions'!$F$15</f>
        <v>11.868473315048629</v>
      </c>
      <c r="J17" s="42">
        <f>'System Assumptions'!$E$30+'System Assumptions'!$E$28-'Data Model Calculations'!I17</f>
        <v>67.885126684951373</v>
      </c>
      <c r="K17" s="45">
        <f t="shared" si="2"/>
        <v>71.385300855590842</v>
      </c>
      <c r="L17" s="46">
        <f t="shared" si="5"/>
        <v>743713675963625.5</v>
      </c>
      <c r="M17" s="47">
        <f>D17/1000*('System Assumptions'!$F$20*1000000)</f>
        <v>276691425000.00018</v>
      </c>
      <c r="N17" s="48"/>
      <c r="O17" s="49">
        <f>(F17/1000)*('System Assumptions'!$F$21*1000000)</f>
        <v>6427291623373.3125</v>
      </c>
      <c r="P17" s="49">
        <f t="shared" si="1"/>
        <v>0</v>
      </c>
      <c r="Q17" s="48">
        <f t="shared" si="6"/>
        <v>750417659011998.75</v>
      </c>
      <c r="R17" s="53">
        <f t="shared" si="7"/>
        <v>71.173116087718668</v>
      </c>
      <c r="S17" s="52">
        <v>35</v>
      </c>
    </row>
    <row r="18" spans="1:19">
      <c r="A18" s="3">
        <f t="shared" si="3"/>
        <v>2</v>
      </c>
      <c r="B18" s="3">
        <f t="shared" si="8"/>
        <v>16</v>
      </c>
      <c r="C18" s="40">
        <f t="shared" si="4"/>
        <v>10543554930.026278</v>
      </c>
      <c r="D18" s="41">
        <f>'System Assumptions'!$E$11/12</f>
        <v>75242280</v>
      </c>
      <c r="E18" s="41">
        <f>-'System Assumptions'!$E$10/12</f>
        <v>-133627000</v>
      </c>
      <c r="F18" s="41">
        <f>IF(I17&lt;'System Assumptions'!$E$29,'Hydrological Data Model'!$E$33/12,'Hydrological Data Model'!$E$33/12)</f>
        <v>183636903.52495179</v>
      </c>
      <c r="G18" s="42">
        <f>IF(I17&lt;'System Assumptions'!$E$29,0,-(MIN('Hydrological Data Model'!$E$34,'Hydrological Data Model'!$E$33-'System Assumptions'!$E$12))/12)</f>
        <v>0</v>
      </c>
      <c r="H18" s="42">
        <f t="shared" si="0"/>
        <v>10668807113.551229</v>
      </c>
      <c r="I18" s="106">
        <f>H18/'System Assumptions'!$F$15</f>
        <v>12.009464869385203</v>
      </c>
      <c r="J18" s="42">
        <f>'System Assumptions'!$E$30+'System Assumptions'!$E$28-'Data Model Calculations'!I18</f>
        <v>67.744135130614808</v>
      </c>
      <c r="K18" s="45">
        <f t="shared" si="2"/>
        <v>71.173116087718668</v>
      </c>
      <c r="L18" s="46">
        <f t="shared" si="5"/>
        <v>750417659011998.75</v>
      </c>
      <c r="M18" s="47">
        <f>D18/1000*('System Assumptions'!$F$20*1000000)</f>
        <v>276691425000.00018</v>
      </c>
      <c r="N18" s="48"/>
      <c r="O18" s="49">
        <f>(F18/1000)*('System Assumptions'!$F$21*1000000)</f>
        <v>6427291623373.3125</v>
      </c>
      <c r="P18" s="49">
        <f t="shared" si="1"/>
        <v>0</v>
      </c>
      <c r="Q18" s="48">
        <f t="shared" si="6"/>
        <v>757121642060372</v>
      </c>
      <c r="R18" s="53">
        <f t="shared" si="7"/>
        <v>70.96591343362995</v>
      </c>
      <c r="S18" s="52">
        <v>35</v>
      </c>
    </row>
    <row r="19" spans="1:19">
      <c r="A19" s="3">
        <f t="shared" si="3"/>
        <v>2</v>
      </c>
      <c r="B19" s="3">
        <f t="shared" si="8"/>
        <v>17</v>
      </c>
      <c r="C19" s="40">
        <f t="shared" si="4"/>
        <v>10668807113.551229</v>
      </c>
      <c r="D19" s="41">
        <f>'System Assumptions'!$E$11/12</f>
        <v>75242280</v>
      </c>
      <c r="E19" s="41">
        <f>-'System Assumptions'!$E$10/12</f>
        <v>-133627000</v>
      </c>
      <c r="F19" s="41">
        <f>IF(I18&lt;'System Assumptions'!$E$29,'Hydrological Data Model'!$E$33/12,'Hydrological Data Model'!$E$33/12)</f>
        <v>183636903.52495179</v>
      </c>
      <c r="G19" s="42">
        <f>IF(I18&lt;'System Assumptions'!$E$29,0,-(MIN('Hydrological Data Model'!$E$34,'Hydrological Data Model'!$E$33-'System Assumptions'!$E$12))/12)</f>
        <v>0</v>
      </c>
      <c r="H19" s="42">
        <f t="shared" si="0"/>
        <v>10794059297.076181</v>
      </c>
      <c r="I19" s="106">
        <f>H19/'System Assumptions'!$F$15</f>
        <v>12.150456423721778</v>
      </c>
      <c r="J19" s="42">
        <f>'System Assumptions'!$E$30+'System Assumptions'!$E$28-'Data Model Calculations'!I19</f>
        <v>67.603143576278228</v>
      </c>
      <c r="K19" s="45">
        <f t="shared" si="2"/>
        <v>70.96591343362995</v>
      </c>
      <c r="L19" s="46">
        <f t="shared" si="5"/>
        <v>757121642060372</v>
      </c>
      <c r="M19" s="47">
        <f>D19/1000*('System Assumptions'!$F$20*1000000)</f>
        <v>276691425000.00018</v>
      </c>
      <c r="N19" s="48"/>
      <c r="O19" s="49">
        <f>(F19/1000)*('System Assumptions'!$F$21*1000000)</f>
        <v>6427291623373.3125</v>
      </c>
      <c r="P19" s="49">
        <f t="shared" si="1"/>
        <v>0</v>
      </c>
      <c r="Q19" s="48">
        <f t="shared" si="6"/>
        <v>763825625108745.25</v>
      </c>
      <c r="R19" s="53">
        <f t="shared" si="7"/>
        <v>70.763519458860571</v>
      </c>
      <c r="S19" s="52">
        <v>35</v>
      </c>
    </row>
    <row r="20" spans="1:19">
      <c r="A20" s="3">
        <f t="shared" si="3"/>
        <v>2</v>
      </c>
      <c r="B20" s="3">
        <f t="shared" si="8"/>
        <v>18</v>
      </c>
      <c r="C20" s="40">
        <f t="shared" si="4"/>
        <v>10794059297.076181</v>
      </c>
      <c r="D20" s="41">
        <f>'System Assumptions'!$E$11/12</f>
        <v>75242280</v>
      </c>
      <c r="E20" s="41">
        <f>-'System Assumptions'!$E$10/12</f>
        <v>-133627000</v>
      </c>
      <c r="F20" s="41">
        <f>IF(I19&lt;'System Assumptions'!$E$29,'Hydrological Data Model'!$E$33/12,'Hydrological Data Model'!$E$33/12)</f>
        <v>183636903.52495179</v>
      </c>
      <c r="G20" s="42">
        <f>IF(I19&lt;'System Assumptions'!$E$29,0,-(MIN('Hydrological Data Model'!$E$34,'Hydrological Data Model'!$E$33-'System Assumptions'!$E$12))/12)</f>
        <v>0</v>
      </c>
      <c r="H20" s="42">
        <f t="shared" si="0"/>
        <v>10919311480.601133</v>
      </c>
      <c r="I20" s="106">
        <f>H20/'System Assumptions'!$F$15</f>
        <v>12.291447978058354</v>
      </c>
      <c r="J20" s="42">
        <f>'System Assumptions'!$E$30+'System Assumptions'!$E$28-'Data Model Calculations'!I20</f>
        <v>67.462152021941648</v>
      </c>
      <c r="K20" s="45">
        <f t="shared" si="2"/>
        <v>70.763519458860571</v>
      </c>
      <c r="L20" s="46">
        <f t="shared" si="5"/>
        <v>763825625108745.25</v>
      </c>
      <c r="M20" s="47">
        <f>D20/1000*('System Assumptions'!$F$20*1000000)</f>
        <v>276691425000.00018</v>
      </c>
      <c r="N20" s="48"/>
      <c r="O20" s="49">
        <f>(F20/1000)*('System Assumptions'!$F$21*1000000)</f>
        <v>6427291623373.3125</v>
      </c>
      <c r="P20" s="49">
        <f t="shared" si="1"/>
        <v>0</v>
      </c>
      <c r="Q20" s="48">
        <f t="shared" si="6"/>
        <v>770529608157118.5</v>
      </c>
      <c r="R20" s="53">
        <f t="shared" si="7"/>
        <v>70.565768686607612</v>
      </c>
      <c r="S20" s="52">
        <v>35</v>
      </c>
    </row>
    <row r="21" spans="1:19">
      <c r="A21" s="3">
        <f t="shared" si="3"/>
        <v>2</v>
      </c>
      <c r="B21" s="3">
        <f t="shared" si="8"/>
        <v>19</v>
      </c>
      <c r="C21" s="40">
        <f t="shared" si="4"/>
        <v>10919311480.601133</v>
      </c>
      <c r="D21" s="41">
        <f>'System Assumptions'!$E$11/12</f>
        <v>75242280</v>
      </c>
      <c r="E21" s="41">
        <f>-'System Assumptions'!$E$10/12</f>
        <v>-133627000</v>
      </c>
      <c r="F21" s="41">
        <f>IF(I20&lt;'System Assumptions'!$E$29,'Hydrological Data Model'!$E$33/12,'Hydrological Data Model'!$E$33/12)</f>
        <v>183636903.52495179</v>
      </c>
      <c r="G21" s="42">
        <f>IF(I20&lt;'System Assumptions'!$E$29,0,-(MIN('Hydrological Data Model'!$E$34,'Hydrological Data Model'!$E$33-'System Assumptions'!$E$12))/12)</f>
        <v>0</v>
      </c>
      <c r="H21" s="42">
        <f t="shared" si="0"/>
        <v>11044563664.126085</v>
      </c>
      <c r="I21" s="106">
        <f>H21/'System Assumptions'!$F$15</f>
        <v>12.432439532394929</v>
      </c>
      <c r="J21" s="42">
        <f>'System Assumptions'!$E$30+'System Assumptions'!$E$28-'Data Model Calculations'!I21</f>
        <v>67.321160467605083</v>
      </c>
      <c r="K21" s="45">
        <f t="shared" si="2"/>
        <v>70.565768686607612</v>
      </c>
      <c r="L21" s="46">
        <f t="shared" si="5"/>
        <v>770529608157118.5</v>
      </c>
      <c r="M21" s="47">
        <f>D21/1000*('System Assumptions'!$F$20*1000000)</f>
        <v>276691425000.00018</v>
      </c>
      <c r="N21" s="48"/>
      <c r="O21" s="49">
        <f>(F21/1000)*('System Assumptions'!$F$21*1000000)</f>
        <v>6427291623373.3125</v>
      </c>
      <c r="P21" s="49">
        <f t="shared" si="1"/>
        <v>0</v>
      </c>
      <c r="Q21" s="48">
        <f t="shared" si="6"/>
        <v>777233591205491.75</v>
      </c>
      <c r="R21" s="53">
        <f t="shared" si="7"/>
        <v>70.372503146505352</v>
      </c>
      <c r="S21" s="52">
        <v>35</v>
      </c>
    </row>
    <row r="22" spans="1:19">
      <c r="A22" s="3">
        <f t="shared" si="3"/>
        <v>2</v>
      </c>
      <c r="B22" s="3">
        <f t="shared" si="8"/>
        <v>20</v>
      </c>
      <c r="C22" s="40">
        <f t="shared" si="4"/>
        <v>11044563664.126085</v>
      </c>
      <c r="D22" s="41">
        <f>'System Assumptions'!$E$11/12</f>
        <v>75242280</v>
      </c>
      <c r="E22" s="41">
        <f>-'System Assumptions'!$E$10/12</f>
        <v>-133627000</v>
      </c>
      <c r="F22" s="41">
        <f>IF(I21&lt;'System Assumptions'!$E$29,'Hydrological Data Model'!$E$33/12,'Hydrological Data Model'!$E$33/12)</f>
        <v>183636903.52495179</v>
      </c>
      <c r="G22" s="42">
        <f>IF(I21&lt;'System Assumptions'!$E$29,0,-(MIN('Hydrological Data Model'!$E$34,'Hydrological Data Model'!$E$33-'System Assumptions'!$E$12))/12)</f>
        <v>0</v>
      </c>
      <c r="H22" s="42">
        <f t="shared" si="0"/>
        <v>11169815847.651037</v>
      </c>
      <c r="I22" s="106">
        <f>H22/'System Assumptions'!$F$15</f>
        <v>12.573431086731503</v>
      </c>
      <c r="J22" s="42">
        <f>'System Assumptions'!$E$30+'System Assumptions'!$E$28-'Data Model Calculations'!I22</f>
        <v>67.180168913268503</v>
      </c>
      <c r="K22" s="45">
        <f t="shared" si="2"/>
        <v>70.372503146505352</v>
      </c>
      <c r="L22" s="46">
        <f t="shared" si="5"/>
        <v>777233591205491.75</v>
      </c>
      <c r="M22" s="47">
        <f>D22/1000*('System Assumptions'!$F$20*1000000)</f>
        <v>276691425000.00018</v>
      </c>
      <c r="N22" s="48"/>
      <c r="O22" s="49">
        <f>(F22/1000)*('System Assumptions'!$F$21*1000000)</f>
        <v>6427291623373.3125</v>
      </c>
      <c r="P22" s="49">
        <f t="shared" si="1"/>
        <v>0</v>
      </c>
      <c r="Q22" s="48">
        <f t="shared" si="6"/>
        <v>783937574253865</v>
      </c>
      <c r="R22" s="53">
        <f t="shared" si="7"/>
        <v>70.183571953759966</v>
      </c>
      <c r="S22" s="52">
        <v>35</v>
      </c>
    </row>
    <row r="23" spans="1:19">
      <c r="A23" s="3">
        <f t="shared" si="3"/>
        <v>2</v>
      </c>
      <c r="B23" s="3">
        <f t="shared" si="8"/>
        <v>21</v>
      </c>
      <c r="C23" s="40">
        <f t="shared" si="4"/>
        <v>11169815847.651037</v>
      </c>
      <c r="D23" s="41">
        <f>'System Assumptions'!$E$11/12</f>
        <v>75242280</v>
      </c>
      <c r="E23" s="41">
        <f>-'System Assumptions'!$E$10/12</f>
        <v>-133627000</v>
      </c>
      <c r="F23" s="41">
        <f>IF(I22&lt;'System Assumptions'!$E$29,'Hydrological Data Model'!$E$33/12,'Hydrological Data Model'!$E$33/12)</f>
        <v>183636903.52495179</v>
      </c>
      <c r="G23" s="42">
        <f>IF(I22&lt;'System Assumptions'!$E$29,0,-(MIN('Hydrological Data Model'!$E$34,'Hydrological Data Model'!$E$33-'System Assumptions'!$E$12))/12)</f>
        <v>0</v>
      </c>
      <c r="H23" s="42">
        <f t="shared" si="0"/>
        <v>11295068031.175989</v>
      </c>
      <c r="I23" s="106">
        <f>H23/'System Assumptions'!$F$15</f>
        <v>12.714422641068079</v>
      </c>
      <c r="J23" s="42">
        <f>'System Assumptions'!$E$30+'System Assumptions'!$E$28-'Data Model Calculations'!I23</f>
        <v>67.039177358931923</v>
      </c>
      <c r="K23" s="45">
        <f t="shared" si="2"/>
        <v>70.183571953759966</v>
      </c>
      <c r="L23" s="46">
        <f t="shared" si="5"/>
        <v>783937574253865</v>
      </c>
      <c r="M23" s="47">
        <f>D23/1000*('System Assumptions'!$F$20*1000000)</f>
        <v>276691425000.00018</v>
      </c>
      <c r="N23" s="48"/>
      <c r="O23" s="49">
        <f>(F23/1000)*('System Assumptions'!$F$21*1000000)</f>
        <v>6427291623373.3125</v>
      </c>
      <c r="P23" s="49">
        <f t="shared" si="1"/>
        <v>0</v>
      </c>
      <c r="Q23" s="48">
        <f t="shared" si="6"/>
        <v>790641557302238.25</v>
      </c>
      <c r="R23" s="53">
        <f t="shared" si="7"/>
        <v>69.998830916286238</v>
      </c>
      <c r="S23" s="52">
        <v>35</v>
      </c>
    </row>
    <row r="24" spans="1:19">
      <c r="A24" s="3">
        <f t="shared" si="3"/>
        <v>2</v>
      </c>
      <c r="B24" s="3">
        <f t="shared" si="8"/>
        <v>22</v>
      </c>
      <c r="C24" s="40">
        <f t="shared" si="4"/>
        <v>11295068031.175989</v>
      </c>
      <c r="D24" s="41">
        <f>'System Assumptions'!$E$11/12</f>
        <v>75242280</v>
      </c>
      <c r="E24" s="41">
        <f>-'System Assumptions'!$E$10/12</f>
        <v>-133627000</v>
      </c>
      <c r="F24" s="41">
        <f>IF(I23&lt;'System Assumptions'!$E$29,'Hydrological Data Model'!$E$33/12,'Hydrological Data Model'!$E$33/12)</f>
        <v>183636903.52495179</v>
      </c>
      <c r="G24" s="42">
        <f>IF(I23&lt;'System Assumptions'!$E$29,0,-(MIN('Hydrological Data Model'!$E$34,'Hydrological Data Model'!$E$33-'System Assumptions'!$E$12))/12)</f>
        <v>0</v>
      </c>
      <c r="H24" s="42">
        <f t="shared" si="0"/>
        <v>11420320214.700941</v>
      </c>
      <c r="I24" s="106">
        <f>H24/'System Assumptions'!$F$15</f>
        <v>12.855414195404654</v>
      </c>
      <c r="J24" s="42">
        <f>'System Assumptions'!$E$30+'System Assumptions'!$E$28-'Data Model Calculations'!I24</f>
        <v>66.898185804595357</v>
      </c>
      <c r="K24" s="45">
        <f t="shared" si="2"/>
        <v>69.998830916286238</v>
      </c>
      <c r="L24" s="46">
        <f t="shared" si="5"/>
        <v>790641557302238.25</v>
      </c>
      <c r="M24" s="47">
        <f>D24/1000*('System Assumptions'!$F$20*1000000)</f>
        <v>276691425000.00018</v>
      </c>
      <c r="N24" s="48"/>
      <c r="O24" s="49">
        <f>(F24/1000)*('System Assumptions'!$F$21*1000000)</f>
        <v>6427291623373.3125</v>
      </c>
      <c r="P24" s="49">
        <f t="shared" si="1"/>
        <v>0</v>
      </c>
      <c r="Q24" s="48">
        <f t="shared" si="6"/>
        <v>797345540350611.5</v>
      </c>
      <c r="R24" s="53">
        <f t="shared" si="7"/>
        <v>69.818142167696749</v>
      </c>
      <c r="S24" s="52">
        <v>35</v>
      </c>
    </row>
    <row r="25" spans="1:19">
      <c r="A25" s="3">
        <f t="shared" si="3"/>
        <v>2</v>
      </c>
      <c r="B25" s="3">
        <f t="shared" si="8"/>
        <v>23</v>
      </c>
      <c r="C25" s="40">
        <f t="shared" si="4"/>
        <v>11420320214.700941</v>
      </c>
      <c r="D25" s="41">
        <f>'System Assumptions'!$E$11/12</f>
        <v>75242280</v>
      </c>
      <c r="E25" s="41">
        <f>-'System Assumptions'!$E$10/12</f>
        <v>-133627000</v>
      </c>
      <c r="F25" s="41">
        <f>IF(I24&lt;'System Assumptions'!$E$29,'Hydrological Data Model'!$E$33/12,'Hydrological Data Model'!$E$33/12)</f>
        <v>183636903.52495179</v>
      </c>
      <c r="G25" s="42">
        <f>IF(I24&lt;'System Assumptions'!$E$29,0,-(MIN('Hydrological Data Model'!$E$34,'Hydrological Data Model'!$E$33-'System Assumptions'!$E$12))/12)</f>
        <v>0</v>
      </c>
      <c r="H25" s="42">
        <f t="shared" si="0"/>
        <v>11545572398.225893</v>
      </c>
      <c r="I25" s="106">
        <f>H25/'System Assumptions'!$F$15</f>
        <v>12.99640574974123</v>
      </c>
      <c r="J25" s="42">
        <f>'System Assumptions'!$E$30+'System Assumptions'!$E$28-'Data Model Calculations'!I25</f>
        <v>66.757194250258777</v>
      </c>
      <c r="K25" s="45">
        <f t="shared" si="2"/>
        <v>69.818142167696749</v>
      </c>
      <c r="L25" s="46">
        <f t="shared" si="5"/>
        <v>797345540350611.5</v>
      </c>
      <c r="M25" s="47">
        <f>D25/1000*('System Assumptions'!$F$20*1000000)</f>
        <v>276691425000.00018</v>
      </c>
      <c r="N25" s="48"/>
      <c r="O25" s="49">
        <f>(F25/1000)*('System Assumptions'!$F$21*1000000)</f>
        <v>6427291623373.3125</v>
      </c>
      <c r="P25" s="49">
        <f t="shared" si="1"/>
        <v>0</v>
      </c>
      <c r="Q25" s="48">
        <f t="shared" si="6"/>
        <v>804049523398984.75</v>
      </c>
      <c r="R25" s="53">
        <f t="shared" si="7"/>
        <v>69.641373824180064</v>
      </c>
      <c r="S25" s="52">
        <v>35</v>
      </c>
    </row>
    <row r="26" spans="1:19">
      <c r="A26" s="3">
        <f t="shared" si="3"/>
        <v>2</v>
      </c>
      <c r="B26" s="3">
        <f t="shared" si="8"/>
        <v>24</v>
      </c>
      <c r="C26" s="40">
        <f t="shared" si="4"/>
        <v>11545572398.225893</v>
      </c>
      <c r="D26" s="41">
        <f>'System Assumptions'!$E$11/12</f>
        <v>75242280</v>
      </c>
      <c r="E26" s="41">
        <f>-'System Assumptions'!$E$10/12</f>
        <v>-133627000</v>
      </c>
      <c r="F26" s="41">
        <f>IF(I25&lt;'System Assumptions'!$E$29,'Hydrological Data Model'!$E$33/12,'Hydrological Data Model'!$E$33/12)</f>
        <v>183636903.52495179</v>
      </c>
      <c r="G26" s="42">
        <f>IF(I25&lt;'System Assumptions'!$E$29,0,-(MIN('Hydrological Data Model'!$E$34,'Hydrological Data Model'!$E$33-'System Assumptions'!$E$12))/12)</f>
        <v>0</v>
      </c>
      <c r="H26" s="42">
        <f t="shared" si="0"/>
        <v>11670824581.750845</v>
      </c>
      <c r="I26" s="106">
        <f>H26/'System Assumptions'!$F$15</f>
        <v>13.137397304077805</v>
      </c>
      <c r="J26" s="42">
        <f>'System Assumptions'!$E$30+'System Assumptions'!$E$28-'Data Model Calculations'!I26</f>
        <v>66.616202695922198</v>
      </c>
      <c r="K26" s="45">
        <f t="shared" si="2"/>
        <v>69.641373824180064</v>
      </c>
      <c r="L26" s="46">
        <f t="shared" si="5"/>
        <v>804049523398984.75</v>
      </c>
      <c r="M26" s="47">
        <f>D26/1000*('System Assumptions'!$F$20*1000000)</f>
        <v>276691425000.00018</v>
      </c>
      <c r="N26" s="48"/>
      <c r="O26" s="49">
        <f>(F26/1000)*('System Assumptions'!$F$21*1000000)</f>
        <v>6427291623373.3125</v>
      </c>
      <c r="P26" s="49">
        <f t="shared" si="1"/>
        <v>0</v>
      </c>
      <c r="Q26" s="48">
        <f t="shared" si="6"/>
        <v>810753506447358</v>
      </c>
      <c r="R26" s="53">
        <f t="shared" si="7"/>
        <v>69.468399663473448</v>
      </c>
      <c r="S26" s="52">
        <v>35</v>
      </c>
    </row>
    <row r="27" spans="1:19">
      <c r="A27" s="3">
        <f t="shared" si="3"/>
        <v>3</v>
      </c>
      <c r="B27" s="3">
        <f t="shared" si="8"/>
        <v>25</v>
      </c>
      <c r="C27" s="40">
        <f t="shared" si="4"/>
        <v>11670824581.750845</v>
      </c>
      <c r="D27" s="41">
        <f>'System Assumptions'!$E$11/12</f>
        <v>75242280</v>
      </c>
      <c r="E27" s="41">
        <f>-'System Assumptions'!$E$10/12</f>
        <v>-133627000</v>
      </c>
      <c r="F27" s="41">
        <f>IF(I26&lt;'System Assumptions'!$E$29,'Hydrological Data Model'!$E$33/12,'Hydrological Data Model'!$E$33/12)</f>
        <v>183636903.52495179</v>
      </c>
      <c r="G27" s="42">
        <f>IF(I26&lt;'System Assumptions'!$E$29,0,-(MIN('Hydrological Data Model'!$E$34,'Hydrological Data Model'!$E$33-'System Assumptions'!$E$12))/12)</f>
        <v>0</v>
      </c>
      <c r="H27" s="42">
        <f t="shared" si="0"/>
        <v>11796076765.275797</v>
      </c>
      <c r="I27" s="106">
        <f>H27/'System Assumptions'!$F$15</f>
        <v>13.278388858414379</v>
      </c>
      <c r="J27" s="42">
        <f>'System Assumptions'!$E$30+'System Assumptions'!$E$28-'Data Model Calculations'!I27</f>
        <v>66.475211141585632</v>
      </c>
      <c r="K27" s="45">
        <f t="shared" si="2"/>
        <v>69.468399663473448</v>
      </c>
      <c r="L27" s="46">
        <f t="shared" si="5"/>
        <v>810753506447358</v>
      </c>
      <c r="M27" s="47">
        <f>D27/1000*('System Assumptions'!$F$20*1000000)</f>
        <v>276691425000.00018</v>
      </c>
      <c r="N27" s="48"/>
      <c r="O27" s="49">
        <f>(F27/1000)*('System Assumptions'!$F$21*1000000)</f>
        <v>6427291623373.3125</v>
      </c>
      <c r="P27" s="49">
        <f t="shared" si="1"/>
        <v>0</v>
      </c>
      <c r="Q27" s="48">
        <f t="shared" si="6"/>
        <v>817457489495731.25</v>
      </c>
      <c r="R27" s="53">
        <f t="shared" si="7"/>
        <v>69.299098824287682</v>
      </c>
      <c r="S27" s="52">
        <v>35</v>
      </c>
    </row>
    <row r="28" spans="1:19">
      <c r="A28" s="3">
        <f t="shared" si="3"/>
        <v>3</v>
      </c>
      <c r="B28" s="3">
        <f t="shared" si="8"/>
        <v>26</v>
      </c>
      <c r="C28" s="40">
        <f t="shared" si="4"/>
        <v>11796076765.275797</v>
      </c>
      <c r="D28" s="41">
        <f>'System Assumptions'!$E$11/12</f>
        <v>75242280</v>
      </c>
      <c r="E28" s="41">
        <f>-'System Assumptions'!$E$10/12</f>
        <v>-133627000</v>
      </c>
      <c r="F28" s="41">
        <f>IF(I27&lt;'System Assumptions'!$E$29,'Hydrological Data Model'!$E$33/12,'Hydrological Data Model'!$E$33/12)</f>
        <v>183636903.52495179</v>
      </c>
      <c r="G28" s="42">
        <f>IF(I27&lt;'System Assumptions'!$E$29,0,-(MIN('Hydrological Data Model'!$E$34,'Hydrological Data Model'!$E$33-'System Assumptions'!$E$12))/12)</f>
        <v>0</v>
      </c>
      <c r="H28" s="42">
        <f t="shared" si="0"/>
        <v>11921328948.800749</v>
      </c>
      <c r="I28" s="106">
        <f>H28/'System Assumptions'!$F$15</f>
        <v>13.419380412750956</v>
      </c>
      <c r="J28" s="42">
        <f>'System Assumptions'!$E$30+'System Assumptions'!$E$28-'Data Model Calculations'!I28</f>
        <v>66.334219587249052</v>
      </c>
      <c r="K28" s="45">
        <f t="shared" si="2"/>
        <v>69.299098824287682</v>
      </c>
      <c r="L28" s="46">
        <f t="shared" si="5"/>
        <v>817457489495731.25</v>
      </c>
      <c r="M28" s="47">
        <f>D28/1000*('System Assumptions'!$F$20*1000000)</f>
        <v>276691425000.00018</v>
      </c>
      <c r="N28" s="48"/>
      <c r="O28" s="49">
        <f>(F28/1000)*('System Assumptions'!$F$21*1000000)</f>
        <v>6427291623373.3125</v>
      </c>
      <c r="P28" s="49">
        <f t="shared" si="1"/>
        <v>0</v>
      </c>
      <c r="Q28" s="48">
        <f t="shared" si="6"/>
        <v>824161472544104.5</v>
      </c>
      <c r="R28" s="53">
        <f t="shared" si="7"/>
        <v>69.133355524680226</v>
      </c>
      <c r="S28" s="52">
        <v>35</v>
      </c>
    </row>
    <row r="29" spans="1:19">
      <c r="A29" s="3">
        <f t="shared" si="3"/>
        <v>3</v>
      </c>
      <c r="B29" s="3">
        <f t="shared" si="8"/>
        <v>27</v>
      </c>
      <c r="C29" s="40">
        <f t="shared" si="4"/>
        <v>11921328948.800749</v>
      </c>
      <c r="D29" s="41">
        <f>'System Assumptions'!$E$11/12</f>
        <v>75242280</v>
      </c>
      <c r="E29" s="41">
        <f>-'System Assumptions'!$E$10/12</f>
        <v>-133627000</v>
      </c>
      <c r="F29" s="41">
        <f>IF(I28&lt;'System Assumptions'!$E$29,'Hydrological Data Model'!$E$33/12,'Hydrological Data Model'!$E$33/12)</f>
        <v>183636903.52495179</v>
      </c>
      <c r="G29" s="42">
        <f>IF(I28&lt;'System Assumptions'!$E$29,0,-(MIN('Hydrological Data Model'!$E$34,'Hydrological Data Model'!$E$33-'System Assumptions'!$E$12))/12)</f>
        <v>0</v>
      </c>
      <c r="H29" s="42">
        <f t="shared" si="0"/>
        <v>12046581132.325701</v>
      </c>
      <c r="I29" s="106">
        <f>H29/'System Assumptions'!$F$15</f>
        <v>13.56037196708753</v>
      </c>
      <c r="J29" s="42">
        <f>'System Assumptions'!$E$30+'System Assumptions'!$E$28-'Data Model Calculations'!I29</f>
        <v>66.193228032912472</v>
      </c>
      <c r="K29" s="45">
        <f t="shared" si="2"/>
        <v>69.133355524680226</v>
      </c>
      <c r="L29" s="46">
        <f t="shared" si="5"/>
        <v>824161472544104.5</v>
      </c>
      <c r="M29" s="47">
        <f>D29/1000*('System Assumptions'!$F$20*1000000)</f>
        <v>276691425000.00018</v>
      </c>
      <c r="N29" s="48"/>
      <c r="O29" s="49">
        <f>(F29/1000)*('System Assumptions'!$F$21*1000000)</f>
        <v>6427291623373.3125</v>
      </c>
      <c r="P29" s="49">
        <f t="shared" si="1"/>
        <v>0</v>
      </c>
      <c r="Q29" s="48">
        <f t="shared" si="6"/>
        <v>830865455592477.75</v>
      </c>
      <c r="R29" s="53">
        <f t="shared" si="7"/>
        <v>68.971058797997046</v>
      </c>
      <c r="S29" s="52">
        <v>35</v>
      </c>
    </row>
    <row r="30" spans="1:19">
      <c r="A30" s="3">
        <f t="shared" si="3"/>
        <v>3</v>
      </c>
      <c r="B30" s="3">
        <f t="shared" si="8"/>
        <v>28</v>
      </c>
      <c r="C30" s="40">
        <f t="shared" si="4"/>
        <v>12046581132.325701</v>
      </c>
      <c r="D30" s="41">
        <f>'System Assumptions'!$E$11/12</f>
        <v>75242280</v>
      </c>
      <c r="E30" s="41">
        <f>-'System Assumptions'!$E$10/12</f>
        <v>-133627000</v>
      </c>
      <c r="F30" s="41">
        <f>IF(I29&lt;'System Assumptions'!$E$29,'Hydrological Data Model'!$E$33/12,'Hydrological Data Model'!$E$33/12)</f>
        <v>183636903.52495179</v>
      </c>
      <c r="G30" s="42">
        <f>IF(I29&lt;'System Assumptions'!$E$29,0,-(MIN('Hydrological Data Model'!$E$34,'Hydrological Data Model'!$E$33-'System Assumptions'!$E$12))/12)</f>
        <v>0</v>
      </c>
      <c r="H30" s="42">
        <f t="shared" si="0"/>
        <v>12171833315.850653</v>
      </c>
      <c r="I30" s="106">
        <f>H30/'System Assumptions'!$F$15</f>
        <v>13.701363521424106</v>
      </c>
      <c r="J30" s="42">
        <f>'System Assumptions'!$E$30+'System Assumptions'!$E$28-'Data Model Calculations'!I30</f>
        <v>66.052236478575907</v>
      </c>
      <c r="K30" s="45">
        <f t="shared" si="2"/>
        <v>68.971058797997046</v>
      </c>
      <c r="L30" s="46">
        <f t="shared" si="5"/>
        <v>830865455592477.75</v>
      </c>
      <c r="M30" s="47">
        <f>D30/1000*('System Assumptions'!$F$20*1000000)</f>
        <v>276691425000.00018</v>
      </c>
      <c r="N30" s="48"/>
      <c r="O30" s="49">
        <f>(F30/1000)*('System Assumptions'!$F$21*1000000)</f>
        <v>6427291623373.3125</v>
      </c>
      <c r="P30" s="49">
        <f t="shared" si="1"/>
        <v>0</v>
      </c>
      <c r="Q30" s="48">
        <f t="shared" si="6"/>
        <v>837569438640851</v>
      </c>
      <c r="R30" s="53">
        <f t="shared" si="7"/>
        <v>68.812102245118183</v>
      </c>
      <c r="S30" s="52">
        <v>35</v>
      </c>
    </row>
    <row r="31" spans="1:19">
      <c r="A31" s="3">
        <f t="shared" si="3"/>
        <v>3</v>
      </c>
      <c r="B31" s="3">
        <f t="shared" si="8"/>
        <v>29</v>
      </c>
      <c r="C31" s="40">
        <f t="shared" si="4"/>
        <v>12171833315.850653</v>
      </c>
      <c r="D31" s="41">
        <f>'System Assumptions'!$E$11/12</f>
        <v>75242280</v>
      </c>
      <c r="E31" s="41">
        <f>-'System Assumptions'!$E$10/12</f>
        <v>-133627000</v>
      </c>
      <c r="F31" s="41">
        <f>IF(I30&lt;'System Assumptions'!$E$29,'Hydrological Data Model'!$E$33/12,'Hydrological Data Model'!$E$33/12)</f>
        <v>183636903.52495179</v>
      </c>
      <c r="G31" s="42">
        <f>IF(I30&lt;'System Assumptions'!$E$29,0,-(MIN('Hydrological Data Model'!$E$34,'Hydrological Data Model'!$E$33-'System Assumptions'!$E$12))/12)</f>
        <v>0</v>
      </c>
      <c r="H31" s="42">
        <f t="shared" si="0"/>
        <v>12297085499.375605</v>
      </c>
      <c r="I31" s="106">
        <f>H31/'System Assumptions'!$F$15</f>
        <v>13.842355075760681</v>
      </c>
      <c r="J31" s="42">
        <f>'System Assumptions'!$E$30+'System Assumptions'!$E$28-'Data Model Calculations'!I31</f>
        <v>65.911244924239327</v>
      </c>
      <c r="K31" s="45">
        <f t="shared" si="2"/>
        <v>68.812102245118183</v>
      </c>
      <c r="L31" s="46">
        <f t="shared" si="5"/>
        <v>837569438640851</v>
      </c>
      <c r="M31" s="47">
        <f>D31/1000*('System Assumptions'!$F$20*1000000)</f>
        <v>276691425000.00018</v>
      </c>
      <c r="N31" s="48"/>
      <c r="O31" s="49">
        <f>(F31/1000)*('System Assumptions'!$F$21*1000000)</f>
        <v>6427291623373.3125</v>
      </c>
      <c r="P31" s="49">
        <f t="shared" si="1"/>
        <v>0</v>
      </c>
      <c r="Q31" s="48">
        <f t="shared" si="6"/>
        <v>844273421689224.25</v>
      </c>
      <c r="R31" s="53">
        <f t="shared" si="7"/>
        <v>68.656383801844186</v>
      </c>
      <c r="S31" s="52">
        <v>35</v>
      </c>
    </row>
    <row r="32" spans="1:19">
      <c r="A32" s="3">
        <f>IF(MOD(B32,12)=1,A31+1,A31)</f>
        <v>3</v>
      </c>
      <c r="B32" s="3">
        <f>B31+1</f>
        <v>30</v>
      </c>
      <c r="C32" s="40">
        <f>H31</f>
        <v>12297085499.375605</v>
      </c>
      <c r="D32" s="41">
        <f>'System Assumptions'!$E$11/12</f>
        <v>75242280</v>
      </c>
      <c r="E32" s="41">
        <f>-'System Assumptions'!$E$10/12</f>
        <v>-133627000</v>
      </c>
      <c r="F32" s="41">
        <f>IF(I31&lt;'System Assumptions'!$E$29,'Hydrological Data Model'!$E$33/12,'Hydrological Data Model'!$E$33/12)</f>
        <v>183636903.52495179</v>
      </c>
      <c r="G32" s="42">
        <f>IF(I31&lt;'System Assumptions'!$E$29,0,-(MIN('Hydrological Data Model'!$E$34,'Hydrological Data Model'!$E$33-'System Assumptions'!$E$12))/12)</f>
        <v>0</v>
      </c>
      <c r="H32" s="42">
        <f t="shared" si="0"/>
        <v>12422337682.900557</v>
      </c>
      <c r="I32" s="106">
        <f>H32/'System Assumptions'!$F$15</f>
        <v>13.983346630097255</v>
      </c>
      <c r="J32" s="42">
        <f>'System Assumptions'!$E$30+'System Assumptions'!$E$28-'Data Model Calculations'!I32</f>
        <v>65.770253369902747</v>
      </c>
      <c r="K32" s="45">
        <f>R31</f>
        <v>68.656383801844186</v>
      </c>
      <c r="L32" s="46">
        <f>Q31</f>
        <v>844273421689224.25</v>
      </c>
      <c r="M32" s="47">
        <f>D32/1000*('System Assumptions'!$F$20*1000000)</f>
        <v>276691425000.00018</v>
      </c>
      <c r="N32" s="48"/>
      <c r="O32" s="49">
        <f>(F32/1000)*('System Assumptions'!$F$21*1000000)</f>
        <v>6427291623373.3125</v>
      </c>
      <c r="P32" s="49">
        <f t="shared" si="1"/>
        <v>0</v>
      </c>
      <c r="Q32" s="48">
        <f t="shared" si="6"/>
        <v>850977404737597.5</v>
      </c>
      <c r="R32" s="53">
        <f t="shared" si="7"/>
        <v>68.50380552035503</v>
      </c>
      <c r="S32" s="52">
        <v>35</v>
      </c>
    </row>
    <row r="33" spans="1:19">
      <c r="A33" s="3">
        <f t="shared" si="3"/>
        <v>3</v>
      </c>
      <c r="B33" s="3">
        <f t="shared" si="8"/>
        <v>31</v>
      </c>
      <c r="C33" s="40">
        <f t="shared" si="4"/>
        <v>12422337682.900557</v>
      </c>
      <c r="D33" s="41">
        <f>'System Assumptions'!$E$11/12</f>
        <v>75242280</v>
      </c>
      <c r="E33" s="41">
        <f>-'System Assumptions'!$E$10/12</f>
        <v>-133627000</v>
      </c>
      <c r="F33" s="41">
        <f>IF(I32&lt;'System Assumptions'!$E$29,'Hydrological Data Model'!$E$33/12,'Hydrological Data Model'!$E$33/12)</f>
        <v>183636903.52495179</v>
      </c>
      <c r="G33" s="42">
        <f>IF(I32&lt;'System Assumptions'!$E$29,0,-(MIN('Hydrological Data Model'!$E$34,'Hydrological Data Model'!$E$33-'System Assumptions'!$E$12))/12)</f>
        <v>0</v>
      </c>
      <c r="H33" s="42">
        <f t="shared" si="0"/>
        <v>12547589866.425508</v>
      </c>
      <c r="I33" s="106">
        <f>H33/'System Assumptions'!$F$15</f>
        <v>14.124338184433832</v>
      </c>
      <c r="J33" s="42">
        <f>'System Assumptions'!$E$30+'System Assumptions'!$E$28-'Data Model Calculations'!I33</f>
        <v>65.629261815566167</v>
      </c>
      <c r="K33" s="45">
        <f t="shared" si="2"/>
        <v>68.50380552035503</v>
      </c>
      <c r="L33" s="46">
        <f t="shared" si="5"/>
        <v>850977404737597.5</v>
      </c>
      <c r="M33" s="47">
        <f>D33/1000*('System Assumptions'!$F$20*1000000)</f>
        <v>276691425000.00018</v>
      </c>
      <c r="N33" s="48"/>
      <c r="O33" s="49">
        <f>(F33/1000)*('System Assumptions'!$F$21*1000000)</f>
        <v>6427291623373.3125</v>
      </c>
      <c r="P33" s="49">
        <f t="shared" si="1"/>
        <v>0</v>
      </c>
      <c r="Q33" s="48">
        <f t="shared" si="6"/>
        <v>857681387785970.75</v>
      </c>
      <c r="R33" s="53">
        <f t="shared" si="7"/>
        <v>68.354273363758139</v>
      </c>
      <c r="S33" s="52">
        <v>35</v>
      </c>
    </row>
    <row r="34" spans="1:19">
      <c r="A34" s="3">
        <f t="shared" si="3"/>
        <v>3</v>
      </c>
      <c r="B34" s="3">
        <f t="shared" si="8"/>
        <v>32</v>
      </c>
      <c r="C34" s="40">
        <f t="shared" si="4"/>
        <v>12547589866.425508</v>
      </c>
      <c r="D34" s="41">
        <f>'System Assumptions'!$E$11/12</f>
        <v>75242280</v>
      </c>
      <c r="E34" s="41">
        <f>-'System Assumptions'!$E$10/12</f>
        <v>-133627000</v>
      </c>
      <c r="F34" s="41">
        <f>IF(I33&lt;'System Assumptions'!$E$29,'Hydrological Data Model'!$E$33/12,'Hydrological Data Model'!$E$33/12)</f>
        <v>183636903.52495179</v>
      </c>
      <c r="G34" s="42">
        <f>IF(I33&lt;'System Assumptions'!$E$29,0,-(MIN('Hydrological Data Model'!$E$34,'Hydrological Data Model'!$E$33-'System Assumptions'!$E$12))/12)</f>
        <v>0</v>
      </c>
      <c r="H34" s="42">
        <f t="shared" si="0"/>
        <v>12672842049.95046</v>
      </c>
      <c r="I34" s="106">
        <f>H34/'System Assumptions'!$F$15</f>
        <v>14.265329738770406</v>
      </c>
      <c r="J34" s="42">
        <f>'System Assumptions'!$E$30+'System Assumptions'!$E$28-'Data Model Calculations'!I34</f>
        <v>65.488270261229601</v>
      </c>
      <c r="K34" s="45">
        <f t="shared" si="2"/>
        <v>68.354273363758139</v>
      </c>
      <c r="L34" s="46">
        <f t="shared" si="5"/>
        <v>857681387785970.75</v>
      </c>
      <c r="M34" s="47">
        <f>D34/1000*('System Assumptions'!$F$20*1000000)</f>
        <v>276691425000.00018</v>
      </c>
      <c r="N34" s="48"/>
      <c r="O34" s="49">
        <f>(F34/1000)*('System Assumptions'!$F$21*1000000)</f>
        <v>6427291623373.3125</v>
      </c>
      <c r="P34" s="49">
        <f t="shared" si="1"/>
        <v>0</v>
      </c>
      <c r="Q34" s="48">
        <f t="shared" si="6"/>
        <v>864385370834344</v>
      </c>
      <c r="R34" s="53">
        <f t="shared" si="7"/>
        <v>68.207697012819864</v>
      </c>
      <c r="S34" s="52">
        <v>35</v>
      </c>
    </row>
    <row r="35" spans="1:19">
      <c r="A35" s="3">
        <f t="shared" si="3"/>
        <v>3</v>
      </c>
      <c r="B35" s="3">
        <f t="shared" si="8"/>
        <v>33</v>
      </c>
      <c r="C35" s="40">
        <f t="shared" si="4"/>
        <v>12672842049.95046</v>
      </c>
      <c r="D35" s="41">
        <f>'System Assumptions'!$E$11/12</f>
        <v>75242280</v>
      </c>
      <c r="E35" s="41">
        <f>-'System Assumptions'!$E$10/12</f>
        <v>-133627000</v>
      </c>
      <c r="F35" s="41">
        <f>IF(I34&lt;'System Assumptions'!$E$29,'Hydrological Data Model'!$E$33/12,'Hydrological Data Model'!$E$33/12)</f>
        <v>183636903.52495179</v>
      </c>
      <c r="G35" s="42">
        <f>IF(I34&lt;'System Assumptions'!$E$29,0,-(MIN('Hydrological Data Model'!$E$34,'Hydrological Data Model'!$E$33-'System Assumptions'!$E$12))/12)</f>
        <v>0</v>
      </c>
      <c r="H35" s="42">
        <f t="shared" si="0"/>
        <v>12798094233.475412</v>
      </c>
      <c r="I35" s="106">
        <f>H35/'System Assumptions'!$F$15</f>
        <v>14.406321293106982</v>
      </c>
      <c r="J35" s="42">
        <f>'System Assumptions'!$E$30+'System Assumptions'!$E$28-'Data Model Calculations'!I35</f>
        <v>65.347278706893022</v>
      </c>
      <c r="K35" s="45">
        <f t="shared" si="2"/>
        <v>68.207697012819864</v>
      </c>
      <c r="L35" s="46">
        <f t="shared" si="5"/>
        <v>864385370834344</v>
      </c>
      <c r="M35" s="47">
        <f>D35/1000*('System Assumptions'!$F$20*1000000)</f>
        <v>276691425000.00018</v>
      </c>
      <c r="N35" s="48"/>
      <c r="O35" s="49">
        <f>(F35/1000)*('System Assumptions'!$F$21*1000000)</f>
        <v>6427291623373.3125</v>
      </c>
      <c r="P35" s="49">
        <f t="shared" si="1"/>
        <v>0</v>
      </c>
      <c r="Q35" s="48">
        <f t="shared" si="6"/>
        <v>871089353882717.25</v>
      </c>
      <c r="R35" s="53">
        <f t="shared" si="7"/>
        <v>68.063989684045865</v>
      </c>
      <c r="S35" s="52">
        <v>35</v>
      </c>
    </row>
    <row r="36" spans="1:19">
      <c r="A36" s="3">
        <f t="shared" si="3"/>
        <v>3</v>
      </c>
      <c r="B36" s="3">
        <f t="shared" si="8"/>
        <v>34</v>
      </c>
      <c r="C36" s="40">
        <f t="shared" si="4"/>
        <v>12798094233.475412</v>
      </c>
      <c r="D36" s="41">
        <f>'System Assumptions'!$E$11/12</f>
        <v>75242280</v>
      </c>
      <c r="E36" s="41">
        <f>-'System Assumptions'!$E$10/12</f>
        <v>-133627000</v>
      </c>
      <c r="F36" s="41">
        <f>IF(I35&lt;'System Assumptions'!$E$29,'Hydrological Data Model'!$E$33/12,'Hydrological Data Model'!$E$33/12)</f>
        <v>183636903.52495179</v>
      </c>
      <c r="G36" s="42">
        <f>IF(I35&lt;'System Assumptions'!$E$29,0,-(MIN('Hydrological Data Model'!$E$34,'Hydrological Data Model'!$E$33-'System Assumptions'!$E$12))/12)</f>
        <v>0</v>
      </c>
      <c r="H36" s="42">
        <f t="shared" si="0"/>
        <v>12923346417.000364</v>
      </c>
      <c r="I36" s="106">
        <f>H36/'System Assumptions'!$F$15</f>
        <v>14.547312847443557</v>
      </c>
      <c r="J36" s="42">
        <f>'System Assumptions'!$E$30+'System Assumptions'!$E$28-'Data Model Calculations'!I36</f>
        <v>65.206287152556456</v>
      </c>
      <c r="K36" s="45">
        <f t="shared" si="2"/>
        <v>68.063989684045865</v>
      </c>
      <c r="L36" s="46">
        <f t="shared" si="5"/>
        <v>871089353882717.25</v>
      </c>
      <c r="M36" s="47">
        <f>D36/1000*('System Assumptions'!$F$20*1000000)</f>
        <v>276691425000.00018</v>
      </c>
      <c r="N36" s="48"/>
      <c r="O36" s="49">
        <f>(F36/1000)*('System Assumptions'!$F$21*1000000)</f>
        <v>6427291623373.3125</v>
      </c>
      <c r="P36" s="49">
        <f t="shared" si="1"/>
        <v>0</v>
      </c>
      <c r="Q36" s="48">
        <f t="shared" si="6"/>
        <v>877793336931090.5</v>
      </c>
      <c r="R36" s="53">
        <f t="shared" si="7"/>
        <v>67.923067958340397</v>
      </c>
      <c r="S36" s="52">
        <v>35</v>
      </c>
    </row>
    <row r="37" spans="1:19">
      <c r="A37" s="3">
        <f t="shared" si="3"/>
        <v>3</v>
      </c>
      <c r="B37" s="3">
        <f t="shared" si="8"/>
        <v>35</v>
      </c>
      <c r="C37" s="40">
        <f t="shared" ref="C37:C100" si="9">H36</f>
        <v>12923346417.000364</v>
      </c>
      <c r="D37" s="41">
        <f>'System Assumptions'!$E$11/12</f>
        <v>75242280</v>
      </c>
      <c r="E37" s="41">
        <f>-'System Assumptions'!$E$10/12</f>
        <v>-133627000</v>
      </c>
      <c r="F37" s="41">
        <f>IF(I36&lt;'System Assumptions'!$E$29,'Hydrological Data Model'!$E$33/12,'Hydrological Data Model'!$E$33/12)</f>
        <v>183636903.52495179</v>
      </c>
      <c r="G37" s="42">
        <f>IF(I36&lt;'System Assumptions'!$E$29,0,-(MIN('Hydrological Data Model'!$E$34,'Hydrological Data Model'!$E$33-'System Assumptions'!$E$12))/12)</f>
        <v>0</v>
      </c>
      <c r="H37" s="42">
        <f t="shared" si="0"/>
        <v>13048598600.525316</v>
      </c>
      <c r="I37" s="106">
        <f>H37/'System Assumptions'!$F$15</f>
        <v>14.688304401780131</v>
      </c>
      <c r="J37" s="42">
        <f>'System Assumptions'!$E$30+'System Assumptions'!$E$28-'Data Model Calculations'!I37</f>
        <v>65.065295598219876</v>
      </c>
      <c r="K37" s="45">
        <f t="shared" si="2"/>
        <v>67.923067958340397</v>
      </c>
      <c r="L37" s="46">
        <f t="shared" ref="L37:L100" si="10">Q36</f>
        <v>877793336931090.5</v>
      </c>
      <c r="M37" s="47">
        <f>D37/1000*('System Assumptions'!$F$20*1000000)</f>
        <v>276691425000.00018</v>
      </c>
      <c r="N37" s="48"/>
      <c r="O37" s="49">
        <f>(F37/1000)*('System Assumptions'!$F$21*1000000)</f>
        <v>6427291623373.3125</v>
      </c>
      <c r="P37" s="49">
        <f t="shared" si="1"/>
        <v>0</v>
      </c>
      <c r="Q37" s="48">
        <f t="shared" ref="Q37:Q100" si="11">SUM(L37:P37)</f>
        <v>884497319979463.75</v>
      </c>
      <c r="R37" s="53">
        <f t="shared" ref="R37:R100" si="12">(Q37*1000)/(H37*1000000)</f>
        <v>67.784851619533711</v>
      </c>
      <c r="S37" s="52">
        <v>35</v>
      </c>
    </row>
    <row r="38" spans="1:19">
      <c r="A38" s="3">
        <f t="shared" si="3"/>
        <v>3</v>
      </c>
      <c r="B38" s="3">
        <f t="shared" si="8"/>
        <v>36</v>
      </c>
      <c r="C38" s="40">
        <f t="shared" si="9"/>
        <v>13048598600.525316</v>
      </c>
      <c r="D38" s="41">
        <f>'System Assumptions'!$E$11/12</f>
        <v>75242280</v>
      </c>
      <c r="E38" s="41">
        <f>-'System Assumptions'!$E$10/12</f>
        <v>-133627000</v>
      </c>
      <c r="F38" s="41">
        <f>IF(I37&lt;'System Assumptions'!$E$29,'Hydrological Data Model'!$E$33/12,'Hydrological Data Model'!$E$33/12)</f>
        <v>183636903.52495179</v>
      </c>
      <c r="G38" s="42">
        <f>IF(I37&lt;'System Assumptions'!$E$29,0,-(MIN('Hydrological Data Model'!$E$34,'Hydrological Data Model'!$E$33-'System Assumptions'!$E$12))/12)</f>
        <v>0</v>
      </c>
      <c r="H38" s="42">
        <f t="shared" si="0"/>
        <v>13173850784.050268</v>
      </c>
      <c r="I38" s="106">
        <f>H38/'System Assumptions'!$F$15</f>
        <v>14.829295956116708</v>
      </c>
      <c r="J38" s="42">
        <f>'System Assumptions'!$E$30+'System Assumptions'!$E$28-'Data Model Calculations'!I38</f>
        <v>64.924304043883296</v>
      </c>
      <c r="K38" s="45">
        <f t="shared" si="2"/>
        <v>67.784851619533711</v>
      </c>
      <c r="L38" s="46">
        <f t="shared" si="10"/>
        <v>884497319979463.75</v>
      </c>
      <c r="M38" s="47">
        <f>D38/1000*('System Assumptions'!$F$20*1000000)</f>
        <v>276691425000.00018</v>
      </c>
      <c r="N38" s="48"/>
      <c r="O38" s="49">
        <f>(F38/1000)*('System Assumptions'!$F$21*1000000)</f>
        <v>6427291623373.3125</v>
      </c>
      <c r="P38" s="49">
        <f t="shared" si="1"/>
        <v>0</v>
      </c>
      <c r="Q38" s="48">
        <f t="shared" si="11"/>
        <v>891201303027837</v>
      </c>
      <c r="R38" s="53">
        <f t="shared" si="12"/>
        <v>67.649263502120789</v>
      </c>
      <c r="S38" s="52">
        <v>35</v>
      </c>
    </row>
    <row r="39" spans="1:19">
      <c r="A39" s="3">
        <f t="shared" si="3"/>
        <v>4</v>
      </c>
      <c r="B39" s="3">
        <f t="shared" si="8"/>
        <v>37</v>
      </c>
      <c r="C39" s="40">
        <f t="shared" si="9"/>
        <v>13173850784.050268</v>
      </c>
      <c r="D39" s="41">
        <f>'System Assumptions'!$E$11/12</f>
        <v>75242280</v>
      </c>
      <c r="E39" s="41">
        <f>-'System Assumptions'!$E$10/12</f>
        <v>-133627000</v>
      </c>
      <c r="F39" s="41">
        <f>IF(I38&lt;'System Assumptions'!$E$29,'Hydrological Data Model'!$E$33/12,'Hydrological Data Model'!$E$33/12)</f>
        <v>183636903.52495179</v>
      </c>
      <c r="G39" s="42">
        <f>IF(I38&lt;'System Assumptions'!$E$29,0,-(MIN('Hydrological Data Model'!$E$34,'Hydrological Data Model'!$E$33-'System Assumptions'!$E$12))/12)</f>
        <v>0</v>
      </c>
      <c r="H39" s="42">
        <f t="shared" si="0"/>
        <v>13299102967.57522</v>
      </c>
      <c r="I39" s="106">
        <f>H39/'System Assumptions'!$F$15</f>
        <v>14.970287510453282</v>
      </c>
      <c r="J39" s="42">
        <f>'System Assumptions'!$E$30+'System Assumptions'!$E$28-'Data Model Calculations'!I39</f>
        <v>64.783312489546717</v>
      </c>
      <c r="K39" s="45">
        <f t="shared" si="2"/>
        <v>67.649263502120789</v>
      </c>
      <c r="L39" s="46">
        <f t="shared" si="10"/>
        <v>891201303027837</v>
      </c>
      <c r="M39" s="47">
        <f>D39/1000*('System Assumptions'!$F$20*1000000)</f>
        <v>276691425000.00018</v>
      </c>
      <c r="N39" s="48"/>
      <c r="O39" s="49">
        <f>(F39/1000)*('System Assumptions'!$F$21*1000000)</f>
        <v>6427291623373.3125</v>
      </c>
      <c r="P39" s="49">
        <f t="shared" si="1"/>
        <v>0</v>
      </c>
      <c r="Q39" s="48">
        <f t="shared" si="11"/>
        <v>897905286076210.25</v>
      </c>
      <c r="R39" s="53">
        <f t="shared" si="12"/>
        <v>67.516229347604053</v>
      </c>
      <c r="S39" s="52">
        <v>35</v>
      </c>
    </row>
    <row r="40" spans="1:19">
      <c r="A40" s="3">
        <f t="shared" si="3"/>
        <v>4</v>
      </c>
      <c r="B40" s="3">
        <f t="shared" si="8"/>
        <v>38</v>
      </c>
      <c r="C40" s="40">
        <f t="shared" si="9"/>
        <v>13299102967.57522</v>
      </c>
      <c r="D40" s="41">
        <f>'System Assumptions'!$E$11/12</f>
        <v>75242280</v>
      </c>
      <c r="E40" s="41">
        <f>-'System Assumptions'!$E$10/12</f>
        <v>-133627000</v>
      </c>
      <c r="F40" s="41">
        <f>IF(I39&lt;'System Assumptions'!$E$29,'Hydrological Data Model'!$E$33/12,'Hydrological Data Model'!$E$33/12)</f>
        <v>183636903.52495179</v>
      </c>
      <c r="G40" s="42">
        <f>IF(I39&lt;'System Assumptions'!$E$29,0,-(MIN('Hydrological Data Model'!$E$34,'Hydrological Data Model'!$E$33-'System Assumptions'!$E$12))/12)</f>
        <v>0</v>
      </c>
      <c r="H40" s="42">
        <f t="shared" si="0"/>
        <v>13424355151.100172</v>
      </c>
      <c r="I40" s="106">
        <f>H40/'System Assumptions'!$F$15</f>
        <v>15.111279064789858</v>
      </c>
      <c r="J40" s="42">
        <f>'System Assumptions'!$E$30+'System Assumptions'!$E$28-'Data Model Calculations'!I40</f>
        <v>64.642320935210151</v>
      </c>
      <c r="K40" s="45">
        <f t="shared" si="2"/>
        <v>67.516229347604053</v>
      </c>
      <c r="L40" s="46">
        <f t="shared" si="10"/>
        <v>897905286076210.25</v>
      </c>
      <c r="M40" s="47">
        <f>D40/1000*('System Assumptions'!$F$20*1000000)</f>
        <v>276691425000.00018</v>
      </c>
      <c r="N40" s="48"/>
      <c r="O40" s="49">
        <f>(F40/1000)*('System Assumptions'!$F$21*1000000)</f>
        <v>6427291623373.3125</v>
      </c>
      <c r="P40" s="49">
        <f t="shared" si="1"/>
        <v>0</v>
      </c>
      <c r="Q40" s="48">
        <f t="shared" si="11"/>
        <v>904609269124583.5</v>
      </c>
      <c r="R40" s="53">
        <f t="shared" si="12"/>
        <v>67.385677668878401</v>
      </c>
      <c r="S40" s="52">
        <v>35</v>
      </c>
    </row>
    <row r="41" spans="1:19">
      <c r="A41" s="3">
        <f t="shared" si="3"/>
        <v>4</v>
      </c>
      <c r="B41" s="3">
        <f t="shared" si="8"/>
        <v>39</v>
      </c>
      <c r="C41" s="40">
        <f t="shared" si="9"/>
        <v>13424355151.100172</v>
      </c>
      <c r="D41" s="41">
        <f>'System Assumptions'!$E$11/12</f>
        <v>75242280</v>
      </c>
      <c r="E41" s="41">
        <f>-'System Assumptions'!$E$10/12</f>
        <v>-133627000</v>
      </c>
      <c r="F41" s="41">
        <f>IF(I40&lt;'System Assumptions'!$E$29,'Hydrological Data Model'!$E$33/12,'Hydrological Data Model'!$E$33/12)</f>
        <v>183636903.52495179</v>
      </c>
      <c r="G41" s="42">
        <f>IF(I40&lt;'System Assumptions'!$E$29,0,-(MIN('Hydrological Data Model'!$E$34,'Hydrological Data Model'!$E$33-'System Assumptions'!$E$12))/12)</f>
        <v>0</v>
      </c>
      <c r="H41" s="42">
        <f t="shared" si="0"/>
        <v>13549607334.625124</v>
      </c>
      <c r="I41" s="106">
        <f>H41/'System Assumptions'!$F$15</f>
        <v>15.252270619126433</v>
      </c>
      <c r="J41" s="42">
        <f>'System Assumptions'!$E$30+'System Assumptions'!$E$28-'Data Model Calculations'!I41</f>
        <v>64.501329380873571</v>
      </c>
      <c r="K41" s="45">
        <f t="shared" si="2"/>
        <v>67.385677668878401</v>
      </c>
      <c r="L41" s="46">
        <f t="shared" si="10"/>
        <v>904609269124583.5</v>
      </c>
      <c r="M41" s="47">
        <f>D41/1000*('System Assumptions'!$F$20*1000000)</f>
        <v>276691425000.00018</v>
      </c>
      <c r="N41" s="48"/>
      <c r="O41" s="49">
        <f>(F41/1000)*('System Assumptions'!$F$21*1000000)</f>
        <v>6427291623373.3125</v>
      </c>
      <c r="P41" s="49">
        <f t="shared" si="1"/>
        <v>0</v>
      </c>
      <c r="Q41" s="48">
        <f t="shared" si="11"/>
        <v>911313252172956.75</v>
      </c>
      <c r="R41" s="53">
        <f t="shared" si="12"/>
        <v>67.257539622137699</v>
      </c>
      <c r="S41" s="52">
        <v>35</v>
      </c>
    </row>
    <row r="42" spans="1:19">
      <c r="A42" s="3">
        <f t="shared" si="3"/>
        <v>4</v>
      </c>
      <c r="B42" s="3">
        <f t="shared" si="8"/>
        <v>40</v>
      </c>
      <c r="C42" s="40">
        <f t="shared" si="9"/>
        <v>13549607334.625124</v>
      </c>
      <c r="D42" s="41">
        <f>'System Assumptions'!$E$11/12</f>
        <v>75242280</v>
      </c>
      <c r="E42" s="41">
        <f>-'System Assumptions'!$E$10/12</f>
        <v>-133627000</v>
      </c>
      <c r="F42" s="41">
        <f>IF(I41&lt;'System Assumptions'!$E$29,'Hydrological Data Model'!$E$33/12,'Hydrological Data Model'!$E$33/12)</f>
        <v>183636903.52495179</v>
      </c>
      <c r="G42" s="42">
        <f>IF(I41&lt;'System Assumptions'!$E$29,0,-(MIN('Hydrological Data Model'!$E$34,'Hydrological Data Model'!$E$33-'System Assumptions'!$E$12))/12)</f>
        <v>-125252183.52495177</v>
      </c>
      <c r="H42" s="42">
        <f t="shared" si="0"/>
        <v>13549607334.625124</v>
      </c>
      <c r="I42" s="106">
        <f>H42/'System Assumptions'!$F$15</f>
        <v>15.252270619126433</v>
      </c>
      <c r="J42" s="42">
        <f>'System Assumptions'!$E$30+'System Assumptions'!$E$28-'Data Model Calculations'!I42</f>
        <v>64.501329380873571</v>
      </c>
      <c r="K42" s="45">
        <f t="shared" si="2"/>
        <v>67.257539622137699</v>
      </c>
      <c r="L42" s="46">
        <f t="shared" si="10"/>
        <v>911313252172956.75</v>
      </c>
      <c r="M42" s="47">
        <f>D42/1000*('System Assumptions'!$F$20*1000000)</f>
        <v>276691425000.00018</v>
      </c>
      <c r="N42" s="48"/>
      <c r="O42" s="49">
        <f>(F42/1000)*('System Assumptions'!$F$21*1000000)</f>
        <v>6427291623373.3125</v>
      </c>
      <c r="P42" s="49">
        <f t="shared" si="1"/>
        <v>-8424153696188.7061</v>
      </c>
      <c r="Q42" s="48">
        <f t="shared" si="11"/>
        <v>909593081525141.25</v>
      </c>
      <c r="R42" s="53">
        <f t="shared" si="12"/>
        <v>67.130586079844278</v>
      </c>
      <c r="S42" s="52">
        <v>35</v>
      </c>
    </row>
    <row r="43" spans="1:19">
      <c r="A43" s="3">
        <f t="shared" si="3"/>
        <v>4</v>
      </c>
      <c r="B43" s="3">
        <f t="shared" si="8"/>
        <v>41</v>
      </c>
      <c r="C43" s="40">
        <f t="shared" si="9"/>
        <v>13549607334.625124</v>
      </c>
      <c r="D43" s="41">
        <f>'System Assumptions'!$E$11/12</f>
        <v>75242280</v>
      </c>
      <c r="E43" s="41">
        <f>-'System Assumptions'!$E$10/12</f>
        <v>-133627000</v>
      </c>
      <c r="F43" s="41">
        <f>IF(I42&lt;'System Assumptions'!$E$29,'Hydrological Data Model'!$E$33/12,'Hydrological Data Model'!$E$33/12)</f>
        <v>183636903.52495179</v>
      </c>
      <c r="G43" s="42">
        <f>IF(I42&lt;'System Assumptions'!$E$29,0,-(MIN('Hydrological Data Model'!$E$34,'Hydrological Data Model'!$E$33-'System Assumptions'!$E$12))/12)</f>
        <v>-125252183.52495177</v>
      </c>
      <c r="H43" s="42">
        <f t="shared" si="0"/>
        <v>13549607334.625124</v>
      </c>
      <c r="I43" s="106">
        <f>H43/'System Assumptions'!$F$15</f>
        <v>15.252270619126433</v>
      </c>
      <c r="J43" s="42">
        <f>'System Assumptions'!$E$30+'System Assumptions'!$E$28-'Data Model Calculations'!I43</f>
        <v>64.501329380873571</v>
      </c>
      <c r="K43" s="45">
        <f t="shared" si="2"/>
        <v>67.130586079844278</v>
      </c>
      <c r="L43" s="46">
        <f t="shared" si="10"/>
        <v>909593081525141.25</v>
      </c>
      <c r="M43" s="47">
        <f>D43/1000*('System Assumptions'!$F$20*1000000)</f>
        <v>276691425000.00018</v>
      </c>
      <c r="N43" s="48"/>
      <c r="O43" s="49">
        <f>(F43/1000)*('System Assumptions'!$F$21*1000000)</f>
        <v>6427291623373.3125</v>
      </c>
      <c r="P43" s="49">
        <f t="shared" si="1"/>
        <v>-8408252487810.2275</v>
      </c>
      <c r="Q43" s="48">
        <f t="shared" si="11"/>
        <v>907888812085704.25</v>
      </c>
      <c r="R43" s="53">
        <f t="shared" si="12"/>
        <v>67.004806092472833</v>
      </c>
      <c r="S43" s="52">
        <v>35</v>
      </c>
    </row>
    <row r="44" spans="1:19">
      <c r="A44" s="3">
        <f t="shared" si="3"/>
        <v>4</v>
      </c>
      <c r="B44" s="3">
        <f t="shared" si="8"/>
        <v>42</v>
      </c>
      <c r="C44" s="40">
        <f t="shared" si="9"/>
        <v>13549607334.625124</v>
      </c>
      <c r="D44" s="41">
        <f>'System Assumptions'!$E$11/12</f>
        <v>75242280</v>
      </c>
      <c r="E44" s="41">
        <f>-'System Assumptions'!$E$10/12</f>
        <v>-133627000</v>
      </c>
      <c r="F44" s="41">
        <f>IF(I43&lt;'System Assumptions'!$E$29,'Hydrological Data Model'!$E$33/12,'Hydrological Data Model'!$E$33/12)</f>
        <v>183636903.52495179</v>
      </c>
      <c r="G44" s="42">
        <f>IF(I43&lt;'System Assumptions'!$E$29,0,-(MIN('Hydrological Data Model'!$E$34,'Hydrological Data Model'!$E$33-'System Assumptions'!$E$12))/12)</f>
        <v>-125252183.52495177</v>
      </c>
      <c r="H44" s="42">
        <f t="shared" si="0"/>
        <v>13549607334.625124</v>
      </c>
      <c r="I44" s="106">
        <f>H44/'System Assumptions'!$F$15</f>
        <v>15.252270619126433</v>
      </c>
      <c r="J44" s="42">
        <f>'System Assumptions'!$E$30+'System Assumptions'!$E$28-'Data Model Calculations'!I44</f>
        <v>64.501329380873571</v>
      </c>
      <c r="K44" s="45">
        <f t="shared" si="2"/>
        <v>67.004806092472833</v>
      </c>
      <c r="L44" s="46">
        <f t="shared" si="10"/>
        <v>907888812085704.25</v>
      </c>
      <c r="M44" s="47">
        <f>D44/1000*('System Assumptions'!$F$20*1000000)</f>
        <v>276691425000.00018</v>
      </c>
      <c r="N44" s="48"/>
      <c r="O44" s="49">
        <f>(F44/1000)*('System Assumptions'!$F$21*1000000)</f>
        <v>6427291623373.3125</v>
      </c>
      <c r="P44" s="49">
        <f t="shared" si="1"/>
        <v>-8392498269748.2129</v>
      </c>
      <c r="Q44" s="48">
        <f t="shared" si="11"/>
        <v>906200296864329.25</v>
      </c>
      <c r="R44" s="53">
        <f t="shared" si="12"/>
        <v>66.880188811715186</v>
      </c>
      <c r="S44" s="52">
        <v>35</v>
      </c>
    </row>
    <row r="45" spans="1:19">
      <c r="A45" s="3">
        <f t="shared" si="3"/>
        <v>4</v>
      </c>
      <c r="B45" s="3">
        <f t="shared" si="8"/>
        <v>43</v>
      </c>
      <c r="C45" s="40">
        <f t="shared" si="9"/>
        <v>13549607334.625124</v>
      </c>
      <c r="D45" s="41">
        <f>'System Assumptions'!$E$11/12</f>
        <v>75242280</v>
      </c>
      <c r="E45" s="41">
        <f>-'System Assumptions'!$E$10/12</f>
        <v>-133627000</v>
      </c>
      <c r="F45" s="41">
        <f>IF(I44&lt;'System Assumptions'!$E$29,'Hydrological Data Model'!$E$33/12,'Hydrological Data Model'!$E$33/12)</f>
        <v>183636903.52495179</v>
      </c>
      <c r="G45" s="42">
        <f>IF(I44&lt;'System Assumptions'!$E$29,0,-(MIN('Hydrological Data Model'!$E$34,'Hydrological Data Model'!$E$33-'System Assumptions'!$E$12))/12)</f>
        <v>-125252183.52495177</v>
      </c>
      <c r="H45" s="42">
        <f t="shared" si="0"/>
        <v>13549607334.625124</v>
      </c>
      <c r="I45" s="106">
        <f>H45/'System Assumptions'!$F$15</f>
        <v>15.252270619126433</v>
      </c>
      <c r="J45" s="42">
        <f>'System Assumptions'!$E$30+'System Assumptions'!$E$28-'Data Model Calculations'!I45</f>
        <v>64.501329380873571</v>
      </c>
      <c r="K45" s="45">
        <f t="shared" si="2"/>
        <v>66.880188811715186</v>
      </c>
      <c r="L45" s="46">
        <f t="shared" si="10"/>
        <v>906200296864329.25</v>
      </c>
      <c r="M45" s="47">
        <f>D45/1000*('System Assumptions'!$F$20*1000000)</f>
        <v>276691425000.00018</v>
      </c>
      <c r="N45" s="48"/>
      <c r="O45" s="49">
        <f>(F45/1000)*('System Assumptions'!$F$21*1000000)</f>
        <v>6427291623373.3125</v>
      </c>
      <c r="P45" s="49">
        <f t="shared" si="1"/>
        <v>-8376889683228.376</v>
      </c>
      <c r="Q45" s="48">
        <f t="shared" si="11"/>
        <v>904527390229474.13</v>
      </c>
      <c r="R45" s="53">
        <f t="shared" si="12"/>
        <v>66.756723489544555</v>
      </c>
      <c r="S45" s="52">
        <v>35</v>
      </c>
    </row>
    <row r="46" spans="1:19">
      <c r="A46" s="3">
        <f t="shared" si="3"/>
        <v>4</v>
      </c>
      <c r="B46" s="3">
        <f t="shared" si="8"/>
        <v>44</v>
      </c>
      <c r="C46" s="40">
        <f t="shared" si="9"/>
        <v>13549607334.625124</v>
      </c>
      <c r="D46" s="41">
        <f>'System Assumptions'!$E$11/12</f>
        <v>75242280</v>
      </c>
      <c r="E46" s="41">
        <f>-'System Assumptions'!$E$10/12</f>
        <v>-133627000</v>
      </c>
      <c r="F46" s="41">
        <f>IF(I45&lt;'System Assumptions'!$E$29,'Hydrological Data Model'!$E$33/12,'Hydrological Data Model'!$E$33/12)</f>
        <v>183636903.52495179</v>
      </c>
      <c r="G46" s="42">
        <f>IF(I45&lt;'System Assumptions'!$E$29,0,-(MIN('Hydrological Data Model'!$E$34,'Hydrological Data Model'!$E$33-'System Assumptions'!$E$12))/12)</f>
        <v>-125252183.52495177</v>
      </c>
      <c r="H46" s="42">
        <f t="shared" si="0"/>
        <v>13549607334.625124</v>
      </c>
      <c r="I46" s="106">
        <f>H46/'System Assumptions'!$F$15</f>
        <v>15.252270619126433</v>
      </c>
      <c r="J46" s="42">
        <f>'System Assumptions'!$E$30+'System Assumptions'!$E$28-'Data Model Calculations'!I46</f>
        <v>64.501329380873571</v>
      </c>
      <c r="K46" s="45">
        <f t="shared" si="2"/>
        <v>66.756723489544555</v>
      </c>
      <c r="L46" s="46">
        <f t="shared" si="10"/>
        <v>904527390229474.13</v>
      </c>
      <c r="M46" s="47">
        <f>D46/1000*('System Assumptions'!$F$20*1000000)</f>
        <v>276691425000.00018</v>
      </c>
      <c r="N46" s="48"/>
      <c r="O46" s="49">
        <f>(F46/1000)*('System Assumptions'!$F$21*1000000)</f>
        <v>6427291623373.3125</v>
      </c>
      <c r="P46" s="49">
        <f t="shared" si="1"/>
        <v>-8361425382036.8926</v>
      </c>
      <c r="Q46" s="48">
        <f t="shared" si="11"/>
        <v>902869947895810.63</v>
      </c>
      <c r="R46" s="53">
        <f t="shared" si="12"/>
        <v>66.634399477288639</v>
      </c>
      <c r="S46" s="52">
        <v>35</v>
      </c>
    </row>
    <row r="47" spans="1:19">
      <c r="A47" s="3">
        <f t="shared" si="3"/>
        <v>4</v>
      </c>
      <c r="B47" s="3">
        <f t="shared" si="8"/>
        <v>45</v>
      </c>
      <c r="C47" s="40">
        <f t="shared" si="9"/>
        <v>13549607334.625124</v>
      </c>
      <c r="D47" s="41">
        <f>'System Assumptions'!$E$11/12</f>
        <v>75242280</v>
      </c>
      <c r="E47" s="41">
        <f>-'System Assumptions'!$E$10/12</f>
        <v>-133627000</v>
      </c>
      <c r="F47" s="41">
        <f>IF(I46&lt;'System Assumptions'!$E$29,'Hydrological Data Model'!$E$33/12,'Hydrological Data Model'!$E$33/12)</f>
        <v>183636903.52495179</v>
      </c>
      <c r="G47" s="42">
        <f>IF(I46&lt;'System Assumptions'!$E$29,0,-(MIN('Hydrological Data Model'!$E$34,'Hydrological Data Model'!$E$33-'System Assumptions'!$E$12))/12)</f>
        <v>-125252183.52495177</v>
      </c>
      <c r="H47" s="42">
        <f t="shared" si="0"/>
        <v>13549607334.625124</v>
      </c>
      <c r="I47" s="106">
        <f>H47/'System Assumptions'!$F$15</f>
        <v>15.252270619126433</v>
      </c>
      <c r="J47" s="42">
        <f>'System Assumptions'!$E$30+'System Assumptions'!$E$28-'Data Model Calculations'!I47</f>
        <v>64.501329380873571</v>
      </c>
      <c r="K47" s="45">
        <f t="shared" si="2"/>
        <v>66.634399477288639</v>
      </c>
      <c r="L47" s="46">
        <f t="shared" si="10"/>
        <v>902869947895810.63</v>
      </c>
      <c r="M47" s="47">
        <f>D47/1000*('System Assumptions'!$F$20*1000000)</f>
        <v>276691425000.00018</v>
      </c>
      <c r="N47" s="48"/>
      <c r="O47" s="49">
        <f>(F47/1000)*('System Assumptions'!$F$21*1000000)</f>
        <v>6427291623373.3125</v>
      </c>
      <c r="P47" s="49">
        <f t="shared" si="1"/>
        <v>-8346104032404.3066</v>
      </c>
      <c r="Q47" s="48">
        <f t="shared" si="11"/>
        <v>901227826911779.75</v>
      </c>
      <c r="R47" s="53">
        <f t="shared" si="12"/>
        <v>66.513206224711155</v>
      </c>
      <c r="S47" s="52">
        <v>35</v>
      </c>
    </row>
    <row r="48" spans="1:19">
      <c r="A48" s="3">
        <f t="shared" si="3"/>
        <v>4</v>
      </c>
      <c r="B48" s="3">
        <f t="shared" si="8"/>
        <v>46</v>
      </c>
      <c r="C48" s="40">
        <f t="shared" si="9"/>
        <v>13549607334.625124</v>
      </c>
      <c r="D48" s="41">
        <f>'System Assumptions'!$E$11/12</f>
        <v>75242280</v>
      </c>
      <c r="E48" s="41">
        <f>-'System Assumptions'!$E$10/12</f>
        <v>-133627000</v>
      </c>
      <c r="F48" s="41">
        <f>IF(I47&lt;'System Assumptions'!$E$29,'Hydrological Data Model'!$E$33/12,'Hydrological Data Model'!$E$33/12)</f>
        <v>183636903.52495179</v>
      </c>
      <c r="G48" s="42">
        <f>IF(I47&lt;'System Assumptions'!$E$29,0,-(MIN('Hydrological Data Model'!$E$34,'Hydrological Data Model'!$E$33-'System Assumptions'!$E$12))/12)</f>
        <v>-125252183.52495177</v>
      </c>
      <c r="H48" s="42">
        <f t="shared" si="0"/>
        <v>13549607334.625124</v>
      </c>
      <c r="I48" s="106">
        <f>H48/'System Assumptions'!$F$15</f>
        <v>15.252270619126433</v>
      </c>
      <c r="J48" s="42">
        <f>'System Assumptions'!$E$30+'System Assumptions'!$E$28-'Data Model Calculations'!I48</f>
        <v>64.501329380873571</v>
      </c>
      <c r="K48" s="45">
        <f t="shared" si="2"/>
        <v>66.513206224711155</v>
      </c>
      <c r="L48" s="46">
        <f t="shared" si="10"/>
        <v>901227826911779.75</v>
      </c>
      <c r="M48" s="47">
        <f>D48/1000*('System Assumptions'!$F$20*1000000)</f>
        <v>276691425000.00018</v>
      </c>
      <c r="N48" s="48"/>
      <c r="O48" s="49">
        <f>(F48/1000)*('System Assumptions'!$F$21*1000000)</f>
        <v>6427291623373.3125</v>
      </c>
      <c r="P48" s="49">
        <f t="shared" si="1"/>
        <v>-8330924312890.4863</v>
      </c>
      <c r="Q48" s="48">
        <f t="shared" si="11"/>
        <v>899600885647262.5</v>
      </c>
      <c r="R48" s="53">
        <f t="shared" si="12"/>
        <v>66.393133279101903</v>
      </c>
      <c r="S48" s="52">
        <v>35</v>
      </c>
    </row>
    <row r="49" spans="1:19">
      <c r="A49" s="3">
        <f t="shared" si="3"/>
        <v>4</v>
      </c>
      <c r="B49" s="3">
        <f t="shared" si="8"/>
        <v>47</v>
      </c>
      <c r="C49" s="40">
        <f t="shared" si="9"/>
        <v>13549607334.625124</v>
      </c>
      <c r="D49" s="41">
        <f>'System Assumptions'!$E$11/12</f>
        <v>75242280</v>
      </c>
      <c r="E49" s="41">
        <f>-'System Assumptions'!$E$10/12</f>
        <v>-133627000</v>
      </c>
      <c r="F49" s="41">
        <f>IF(I48&lt;'System Assumptions'!$E$29,'Hydrological Data Model'!$E$33/12,'Hydrological Data Model'!$E$33/12)</f>
        <v>183636903.52495179</v>
      </c>
      <c r="G49" s="42">
        <f>IF(I48&lt;'System Assumptions'!$E$29,0,-(MIN('Hydrological Data Model'!$E$34,'Hydrological Data Model'!$E$33-'System Assumptions'!$E$12))/12)</f>
        <v>-125252183.52495177</v>
      </c>
      <c r="H49" s="42">
        <f t="shared" si="0"/>
        <v>13549607334.625124</v>
      </c>
      <c r="I49" s="106">
        <f>H49/'System Assumptions'!$F$15</f>
        <v>15.252270619126433</v>
      </c>
      <c r="J49" s="42">
        <f>'System Assumptions'!$E$30+'System Assumptions'!$E$28-'Data Model Calculations'!I49</f>
        <v>64.501329380873571</v>
      </c>
      <c r="K49" s="45">
        <f t="shared" si="2"/>
        <v>66.393133279101903</v>
      </c>
      <c r="L49" s="46">
        <f t="shared" si="10"/>
        <v>899600885647262.5</v>
      </c>
      <c r="M49" s="47">
        <f>D49/1000*('System Assumptions'!$F$20*1000000)</f>
        <v>276691425000.00018</v>
      </c>
      <c r="N49" s="48"/>
      <c r="O49" s="49">
        <f>(F49/1000)*('System Assumptions'!$F$21*1000000)</f>
        <v>6427291623373.3125</v>
      </c>
      <c r="P49" s="49">
        <f t="shared" si="1"/>
        <v>-8315884914270.6543</v>
      </c>
      <c r="Q49" s="48">
        <f t="shared" si="11"/>
        <v>897988983781365.13</v>
      </c>
      <c r="R49" s="53">
        <f t="shared" si="12"/>
        <v>66.274170284375231</v>
      </c>
      <c r="S49" s="52">
        <v>35</v>
      </c>
    </row>
    <row r="50" spans="1:19">
      <c r="A50" s="3">
        <f t="shared" si="3"/>
        <v>4</v>
      </c>
      <c r="B50" s="3">
        <f t="shared" si="8"/>
        <v>48</v>
      </c>
      <c r="C50" s="40">
        <f t="shared" si="9"/>
        <v>13549607334.625124</v>
      </c>
      <c r="D50" s="41">
        <f>'System Assumptions'!$E$11/12</f>
        <v>75242280</v>
      </c>
      <c r="E50" s="41">
        <f>-'System Assumptions'!$E$10/12</f>
        <v>-133627000</v>
      </c>
      <c r="F50" s="41">
        <f>IF(I49&lt;'System Assumptions'!$E$29,'Hydrological Data Model'!$E$33/12,'Hydrological Data Model'!$E$33/12)</f>
        <v>183636903.52495179</v>
      </c>
      <c r="G50" s="42">
        <f>IF(I49&lt;'System Assumptions'!$E$29,0,-(MIN('Hydrological Data Model'!$E$34,'Hydrological Data Model'!$E$33-'System Assumptions'!$E$12))/12)</f>
        <v>-125252183.52495177</v>
      </c>
      <c r="H50" s="42">
        <f t="shared" si="0"/>
        <v>13549607334.625124</v>
      </c>
      <c r="I50" s="106">
        <f>H50/'System Assumptions'!$F$15</f>
        <v>15.252270619126433</v>
      </c>
      <c r="J50" s="42">
        <f>'System Assumptions'!$E$30+'System Assumptions'!$E$28-'Data Model Calculations'!I50</f>
        <v>64.501329380873571</v>
      </c>
      <c r="K50" s="45">
        <f t="shared" si="2"/>
        <v>66.274170284375231</v>
      </c>
      <c r="L50" s="46">
        <f t="shared" si="10"/>
        <v>897988983781365.13</v>
      </c>
      <c r="M50" s="47">
        <f>D50/1000*('System Assumptions'!$F$20*1000000)</f>
        <v>276691425000.00018</v>
      </c>
      <c r="N50" s="48"/>
      <c r="O50" s="49">
        <f>(F50/1000)*('System Assumptions'!$F$21*1000000)</f>
        <v>6427291623373.3125</v>
      </c>
      <c r="P50" s="49">
        <f t="shared" si="1"/>
        <v>-8300984539422.4707</v>
      </c>
      <c r="Q50" s="48">
        <f t="shared" si="11"/>
        <v>896391982290316</v>
      </c>
      <c r="R50" s="53">
        <f t="shared" si="12"/>
        <v>66.156306980176893</v>
      </c>
      <c r="S50" s="52">
        <v>35</v>
      </c>
    </row>
    <row r="51" spans="1:19">
      <c r="A51" s="3">
        <f t="shared" si="3"/>
        <v>5</v>
      </c>
      <c r="B51" s="3">
        <f t="shared" si="8"/>
        <v>49</v>
      </c>
      <c r="C51" s="40">
        <f t="shared" si="9"/>
        <v>13549607334.625124</v>
      </c>
      <c r="D51" s="41">
        <f>'System Assumptions'!$E$11/12</f>
        <v>75242280</v>
      </c>
      <c r="E51" s="41">
        <f>-'System Assumptions'!$E$10/12</f>
        <v>-133627000</v>
      </c>
      <c r="F51" s="41">
        <f>IF(I50&lt;'System Assumptions'!$E$29,'Hydrological Data Model'!$E$33/12,'Hydrological Data Model'!$E$33/12)</f>
        <v>183636903.52495179</v>
      </c>
      <c r="G51" s="42">
        <f>IF(I50&lt;'System Assumptions'!$E$29,0,-(MIN('Hydrological Data Model'!$E$34,'Hydrological Data Model'!$E$33-'System Assumptions'!$E$12))/12)</f>
        <v>-125252183.52495177</v>
      </c>
      <c r="H51" s="42">
        <f t="shared" si="0"/>
        <v>13549607334.625124</v>
      </c>
      <c r="I51" s="106">
        <f>H51/'System Assumptions'!$F$15</f>
        <v>15.252270619126433</v>
      </c>
      <c r="J51" s="42">
        <f>'System Assumptions'!$E$30+'System Assumptions'!$E$28-'Data Model Calculations'!I51</f>
        <v>64.501329380873571</v>
      </c>
      <c r="K51" s="45">
        <f t="shared" si="2"/>
        <v>66.156306980176893</v>
      </c>
      <c r="L51" s="46">
        <f t="shared" si="10"/>
        <v>896391982290316</v>
      </c>
      <c r="M51" s="47">
        <f>D51/1000*('System Assumptions'!$F$20*1000000)</f>
        <v>276691425000.00018</v>
      </c>
      <c r="N51" s="48"/>
      <c r="O51" s="49">
        <f>(F51/1000)*('System Assumptions'!$F$21*1000000)</f>
        <v>6427291623373.3125</v>
      </c>
      <c r="P51" s="49">
        <f t="shared" si="1"/>
        <v>-8286221903214.1641</v>
      </c>
      <c r="Q51" s="48">
        <f t="shared" si="11"/>
        <v>894809743435475.13</v>
      </c>
      <c r="R51" s="53">
        <f t="shared" si="12"/>
        <v>66.039533200998974</v>
      </c>
      <c r="S51" s="52">
        <v>35</v>
      </c>
    </row>
    <row r="52" spans="1:19">
      <c r="A52" s="3">
        <f t="shared" si="3"/>
        <v>5</v>
      </c>
      <c r="B52" s="3">
        <f t="shared" si="8"/>
        <v>50</v>
      </c>
      <c r="C52" s="40">
        <f t="shared" si="9"/>
        <v>13549607334.625124</v>
      </c>
      <c r="D52" s="41">
        <f>'System Assumptions'!$E$11/12</f>
        <v>75242280</v>
      </c>
      <c r="E52" s="41">
        <f>-'System Assumptions'!$E$10/12</f>
        <v>-133627000</v>
      </c>
      <c r="F52" s="41">
        <f>IF(I51&lt;'System Assumptions'!$E$29,'Hydrological Data Model'!$E$33/12,'Hydrological Data Model'!$E$33/12)</f>
        <v>183636903.52495179</v>
      </c>
      <c r="G52" s="42">
        <f>IF(I51&lt;'System Assumptions'!$E$29,0,-(MIN('Hydrological Data Model'!$E$34,'Hydrological Data Model'!$E$33-'System Assumptions'!$E$12))/12)</f>
        <v>-125252183.52495177</v>
      </c>
      <c r="H52" s="42">
        <f t="shared" si="0"/>
        <v>13549607334.625124</v>
      </c>
      <c r="I52" s="106">
        <f>H52/'System Assumptions'!$F$15</f>
        <v>15.252270619126433</v>
      </c>
      <c r="J52" s="42">
        <f>'System Assumptions'!$E$30+'System Assumptions'!$E$28-'Data Model Calculations'!I52</f>
        <v>64.501329380873571</v>
      </c>
      <c r="K52" s="45">
        <f t="shared" si="2"/>
        <v>66.039533200998974</v>
      </c>
      <c r="L52" s="46">
        <f t="shared" si="10"/>
        <v>894809743435475.13</v>
      </c>
      <c r="M52" s="47">
        <f>D52/1000*('System Assumptions'!$F$20*1000000)</f>
        <v>276691425000.00018</v>
      </c>
      <c r="N52" s="48"/>
      <c r="O52" s="49">
        <f>(F52/1000)*('System Assumptions'!$F$21*1000000)</f>
        <v>6427291623373.3125</v>
      </c>
      <c r="P52" s="49">
        <f t="shared" si="1"/>
        <v>-8271595732393.6689</v>
      </c>
      <c r="Q52" s="48">
        <f t="shared" si="11"/>
        <v>893242130751454.88</v>
      </c>
      <c r="R52" s="53">
        <f t="shared" si="12"/>
        <v>65.923838875303332</v>
      </c>
      <c r="S52" s="52">
        <v>35</v>
      </c>
    </row>
    <row r="53" spans="1:19">
      <c r="A53" s="3">
        <f t="shared" si="3"/>
        <v>5</v>
      </c>
      <c r="B53" s="3">
        <f t="shared" si="8"/>
        <v>51</v>
      </c>
      <c r="C53" s="40">
        <f t="shared" si="9"/>
        <v>13549607334.625124</v>
      </c>
      <c r="D53" s="41">
        <f>'System Assumptions'!$E$11/12</f>
        <v>75242280</v>
      </c>
      <c r="E53" s="41">
        <f>-'System Assumptions'!$E$10/12</f>
        <v>-133627000</v>
      </c>
      <c r="F53" s="41">
        <f>IF(I52&lt;'System Assumptions'!$E$29,'Hydrological Data Model'!$E$33/12,'Hydrological Data Model'!$E$33/12)</f>
        <v>183636903.52495179</v>
      </c>
      <c r="G53" s="42">
        <f>IF(I52&lt;'System Assumptions'!$E$29,0,-(MIN('Hydrological Data Model'!$E$34,'Hydrological Data Model'!$E$33-'System Assumptions'!$E$12))/12)</f>
        <v>-125252183.52495177</v>
      </c>
      <c r="H53" s="42">
        <f t="shared" si="0"/>
        <v>13549607334.625124</v>
      </c>
      <c r="I53" s="106">
        <f>H53/'System Assumptions'!$F$15</f>
        <v>15.252270619126433</v>
      </c>
      <c r="J53" s="42">
        <f>'System Assumptions'!$E$30+'System Assumptions'!$E$28-'Data Model Calculations'!I53</f>
        <v>64.501329380873571</v>
      </c>
      <c r="K53" s="45">
        <f t="shared" si="2"/>
        <v>65.923838875303332</v>
      </c>
      <c r="L53" s="46">
        <f t="shared" si="10"/>
        <v>893242130751454.88</v>
      </c>
      <c r="M53" s="47">
        <f>D53/1000*('System Assumptions'!$F$20*1000000)</f>
        <v>276691425000.00018</v>
      </c>
      <c r="N53" s="48"/>
      <c r="O53" s="49">
        <f>(F53/1000)*('System Assumptions'!$F$21*1000000)</f>
        <v>6427291623373.3125</v>
      </c>
      <c r="P53" s="49">
        <f t="shared" si="1"/>
        <v>-8257104765478.8428</v>
      </c>
      <c r="Q53" s="48">
        <f t="shared" si="11"/>
        <v>891689009034349.38</v>
      </c>
      <c r="R53" s="53">
        <f t="shared" si="12"/>
        <v>65.809214024652732</v>
      </c>
      <c r="S53" s="52">
        <v>35</v>
      </c>
    </row>
    <row r="54" spans="1:19">
      <c r="A54" s="3">
        <f t="shared" si="3"/>
        <v>5</v>
      </c>
      <c r="B54" s="3">
        <f t="shared" si="8"/>
        <v>52</v>
      </c>
      <c r="C54" s="40">
        <f t="shared" si="9"/>
        <v>13549607334.625124</v>
      </c>
      <c r="D54" s="41">
        <f>'System Assumptions'!$E$11/12</f>
        <v>75242280</v>
      </c>
      <c r="E54" s="41">
        <f>-'System Assumptions'!$E$10/12</f>
        <v>-133627000</v>
      </c>
      <c r="F54" s="41">
        <f>IF(I53&lt;'System Assumptions'!$E$29,'Hydrological Data Model'!$E$33/12,'Hydrological Data Model'!$E$33/12)</f>
        <v>183636903.52495179</v>
      </c>
      <c r="G54" s="42">
        <f>IF(I53&lt;'System Assumptions'!$E$29,0,-(MIN('Hydrological Data Model'!$E$34,'Hydrological Data Model'!$E$33-'System Assumptions'!$E$12))/12)</f>
        <v>-125252183.52495177</v>
      </c>
      <c r="H54" s="42">
        <f t="shared" si="0"/>
        <v>13549607334.625124</v>
      </c>
      <c r="I54" s="106">
        <f>H54/'System Assumptions'!$F$15</f>
        <v>15.252270619126433</v>
      </c>
      <c r="J54" s="42">
        <f>'System Assumptions'!$E$30+'System Assumptions'!$E$28-'Data Model Calculations'!I54</f>
        <v>64.501329380873571</v>
      </c>
      <c r="K54" s="45">
        <f t="shared" si="2"/>
        <v>65.809214024652732</v>
      </c>
      <c r="L54" s="46">
        <f t="shared" si="10"/>
        <v>891689009034349.38</v>
      </c>
      <c r="M54" s="47">
        <f>D54/1000*('System Assumptions'!$F$20*1000000)</f>
        <v>276691425000.00018</v>
      </c>
      <c r="N54" s="48"/>
      <c r="O54" s="49">
        <f>(F54/1000)*('System Assumptions'!$F$21*1000000)</f>
        <v>6427291623373.3125</v>
      </c>
      <c r="P54" s="49">
        <f t="shared" si="1"/>
        <v>-8242747752648.6338</v>
      </c>
      <c r="Q54" s="48">
        <f t="shared" si="11"/>
        <v>890150244330074.13</v>
      </c>
      <c r="R54" s="53">
        <f t="shared" si="12"/>
        <v>65.695648762850425</v>
      </c>
      <c r="S54" s="52">
        <v>35</v>
      </c>
    </row>
    <row r="55" spans="1:19">
      <c r="A55" s="3">
        <f t="shared" si="3"/>
        <v>5</v>
      </c>
      <c r="B55" s="3">
        <f t="shared" si="8"/>
        <v>53</v>
      </c>
      <c r="C55" s="40">
        <f t="shared" si="9"/>
        <v>13549607334.625124</v>
      </c>
      <c r="D55" s="41">
        <f>'System Assumptions'!$E$11/12</f>
        <v>75242280</v>
      </c>
      <c r="E55" s="41">
        <f>-'System Assumptions'!$E$10/12</f>
        <v>-133627000</v>
      </c>
      <c r="F55" s="41">
        <f>IF(I54&lt;'System Assumptions'!$E$29,'Hydrological Data Model'!$E$33/12,'Hydrological Data Model'!$E$33/12)</f>
        <v>183636903.52495179</v>
      </c>
      <c r="G55" s="42">
        <f>IF(I54&lt;'System Assumptions'!$E$29,0,-(MIN('Hydrological Data Model'!$E$34,'Hydrological Data Model'!$E$33-'System Assumptions'!$E$12))/12)</f>
        <v>-125252183.52495177</v>
      </c>
      <c r="H55" s="42">
        <f t="shared" si="0"/>
        <v>13549607334.625124</v>
      </c>
      <c r="I55" s="106">
        <f>H55/'System Assumptions'!$F$15</f>
        <v>15.252270619126433</v>
      </c>
      <c r="J55" s="42">
        <f>'System Assumptions'!$E$30+'System Assumptions'!$E$28-'Data Model Calculations'!I55</f>
        <v>64.501329380873571</v>
      </c>
      <c r="K55" s="45">
        <f t="shared" si="2"/>
        <v>65.695648762850425</v>
      </c>
      <c r="L55" s="46">
        <f t="shared" si="10"/>
        <v>890150244330074.13</v>
      </c>
      <c r="M55" s="47">
        <f>D55/1000*('System Assumptions'!$F$20*1000000)</f>
        <v>276691425000.00018</v>
      </c>
      <c r="N55" s="48"/>
      <c r="O55" s="49">
        <f>(F55/1000)*('System Assumptions'!$F$21*1000000)</f>
        <v>6427291623373.3125</v>
      </c>
      <c r="P55" s="49">
        <f t="shared" si="1"/>
        <v>-8228523455635.3115</v>
      </c>
      <c r="Q55" s="48">
        <f t="shared" si="11"/>
        <v>888625703922812.25</v>
      </c>
      <c r="R55" s="53">
        <f t="shared" si="12"/>
        <v>65.583133295087322</v>
      </c>
      <c r="S55" s="52">
        <v>35</v>
      </c>
    </row>
    <row r="56" spans="1:19">
      <c r="A56" s="3">
        <f t="shared" si="3"/>
        <v>5</v>
      </c>
      <c r="B56" s="3">
        <f t="shared" si="8"/>
        <v>54</v>
      </c>
      <c r="C56" s="40">
        <f t="shared" si="9"/>
        <v>13549607334.625124</v>
      </c>
      <c r="D56" s="41">
        <f>'System Assumptions'!$E$11/12</f>
        <v>75242280</v>
      </c>
      <c r="E56" s="41">
        <f>-'System Assumptions'!$E$10/12</f>
        <v>-133627000</v>
      </c>
      <c r="F56" s="41">
        <f>IF(I55&lt;'System Assumptions'!$E$29,'Hydrological Data Model'!$E$33/12,'Hydrological Data Model'!$E$33/12)</f>
        <v>183636903.52495179</v>
      </c>
      <c r="G56" s="42">
        <f>IF(I55&lt;'System Assumptions'!$E$29,0,-(MIN('Hydrological Data Model'!$E$34,'Hydrological Data Model'!$E$33-'System Assumptions'!$E$12))/12)</f>
        <v>-125252183.52495177</v>
      </c>
      <c r="H56" s="42">
        <f t="shared" si="0"/>
        <v>13549607334.625124</v>
      </c>
      <c r="I56" s="106">
        <f>H56/'System Assumptions'!$F$15</f>
        <v>15.252270619126433</v>
      </c>
      <c r="J56" s="42">
        <f>'System Assumptions'!$E$30+'System Assumptions'!$E$28-'Data Model Calculations'!I56</f>
        <v>64.501329380873571</v>
      </c>
      <c r="K56" s="45">
        <f t="shared" si="2"/>
        <v>65.583133295087322</v>
      </c>
      <c r="L56" s="46">
        <f t="shared" si="10"/>
        <v>888625703922812.25</v>
      </c>
      <c r="M56" s="47">
        <f>D56/1000*('System Assumptions'!$F$20*1000000)</f>
        <v>276691425000.00018</v>
      </c>
      <c r="N56" s="48"/>
      <c r="O56" s="49">
        <f>(F56/1000)*('System Assumptions'!$F$21*1000000)</f>
        <v>6427291623373.3125</v>
      </c>
      <c r="P56" s="49">
        <f t="shared" si="1"/>
        <v>-8214430647617.6523</v>
      </c>
      <c r="Q56" s="48">
        <f t="shared" si="11"/>
        <v>887115256323567.88</v>
      </c>
      <c r="R56" s="53">
        <f t="shared" si="12"/>
        <v>65.471657917097247</v>
      </c>
      <c r="S56" s="52">
        <v>35</v>
      </c>
    </row>
    <row r="57" spans="1:19">
      <c r="A57" s="3">
        <f t="shared" si="3"/>
        <v>5</v>
      </c>
      <c r="B57" s="3">
        <f t="shared" si="8"/>
        <v>55</v>
      </c>
      <c r="C57" s="40">
        <f t="shared" si="9"/>
        <v>13549607334.625124</v>
      </c>
      <c r="D57" s="41">
        <f>'System Assumptions'!$E$11/12</f>
        <v>75242280</v>
      </c>
      <c r="E57" s="41">
        <f>-'System Assumptions'!$E$10/12</f>
        <v>-133627000</v>
      </c>
      <c r="F57" s="41">
        <f>IF(I56&lt;'System Assumptions'!$E$29,'Hydrological Data Model'!$E$33/12,'Hydrological Data Model'!$E$33/12)</f>
        <v>183636903.52495179</v>
      </c>
      <c r="G57" s="42">
        <f>IF(I56&lt;'System Assumptions'!$E$29,0,-(MIN('Hydrological Data Model'!$E$34,'Hydrological Data Model'!$E$33-'System Assumptions'!$E$12))/12)</f>
        <v>-125252183.52495177</v>
      </c>
      <c r="H57" s="42">
        <f t="shared" si="0"/>
        <v>13549607334.625124</v>
      </c>
      <c r="I57" s="106">
        <f>H57/'System Assumptions'!$F$15</f>
        <v>15.252270619126433</v>
      </c>
      <c r="J57" s="42">
        <f>'System Assumptions'!$E$30+'System Assumptions'!$E$28-'Data Model Calculations'!I57</f>
        <v>64.501329380873571</v>
      </c>
      <c r="K57" s="45">
        <f t="shared" si="2"/>
        <v>65.471657917097247</v>
      </c>
      <c r="L57" s="46">
        <f t="shared" si="10"/>
        <v>887115256323567.88</v>
      </c>
      <c r="M57" s="47">
        <f>D57/1000*('System Assumptions'!$F$20*1000000)</f>
        <v>276691425000.00018</v>
      </c>
      <c r="N57" s="48"/>
      <c r="O57" s="49">
        <f>(F57/1000)*('System Assumptions'!$F$21*1000000)</f>
        <v>6427291623373.3125</v>
      </c>
      <c r="P57" s="49">
        <f t="shared" si="1"/>
        <v>-8200468113115.126</v>
      </c>
      <c r="Q57" s="48">
        <f t="shared" si="11"/>
        <v>885618771258826.13</v>
      </c>
      <c r="R57" s="53">
        <f t="shared" si="12"/>
        <v>65.361213014320057</v>
      </c>
      <c r="S57" s="52">
        <v>35</v>
      </c>
    </row>
    <row r="58" spans="1:19">
      <c r="A58" s="3">
        <f t="shared" si="3"/>
        <v>5</v>
      </c>
      <c r="B58" s="3">
        <f t="shared" si="8"/>
        <v>56</v>
      </c>
      <c r="C58" s="40">
        <f t="shared" si="9"/>
        <v>13549607334.625124</v>
      </c>
      <c r="D58" s="41">
        <f>'System Assumptions'!$E$11/12</f>
        <v>75242280</v>
      </c>
      <c r="E58" s="41">
        <f>-'System Assumptions'!$E$10/12</f>
        <v>-133627000</v>
      </c>
      <c r="F58" s="41">
        <f>IF(I57&lt;'System Assumptions'!$E$29,'Hydrological Data Model'!$E$33/12,'Hydrological Data Model'!$E$33/12)</f>
        <v>183636903.52495179</v>
      </c>
      <c r="G58" s="42">
        <f>IF(I57&lt;'System Assumptions'!$E$29,0,-(MIN('Hydrological Data Model'!$E$34,'Hydrological Data Model'!$E$33-'System Assumptions'!$E$12))/12)</f>
        <v>-125252183.52495177</v>
      </c>
      <c r="H58" s="42">
        <f t="shared" si="0"/>
        <v>13549607334.625124</v>
      </c>
      <c r="I58" s="106">
        <f>H58/'System Assumptions'!$F$15</f>
        <v>15.252270619126433</v>
      </c>
      <c r="J58" s="42">
        <f>'System Assumptions'!$E$30+'System Assumptions'!$E$28-'Data Model Calculations'!I58</f>
        <v>64.501329380873571</v>
      </c>
      <c r="K58" s="45">
        <f t="shared" si="2"/>
        <v>65.361213014320057</v>
      </c>
      <c r="L58" s="46">
        <f t="shared" si="10"/>
        <v>885618771258826.13</v>
      </c>
      <c r="M58" s="47">
        <f>D58/1000*('System Assumptions'!$F$20*1000000)</f>
        <v>276691425000.00018</v>
      </c>
      <c r="N58" s="48"/>
      <c r="O58" s="49">
        <f>(F58/1000)*('System Assumptions'!$F$21*1000000)</f>
        <v>6427291623373.3125</v>
      </c>
      <c r="P58" s="49">
        <f t="shared" si="1"/>
        <v>-8186634647883.082</v>
      </c>
      <c r="Q58" s="48">
        <f t="shared" si="11"/>
        <v>884136119659316.38</v>
      </c>
      <c r="R58" s="53">
        <f t="shared" si="12"/>
        <v>65.251789061072273</v>
      </c>
      <c r="S58" s="52">
        <v>35</v>
      </c>
    </row>
    <row r="59" spans="1:19">
      <c r="A59" s="3">
        <f t="shared" si="3"/>
        <v>5</v>
      </c>
      <c r="B59" s="3">
        <f t="shared" si="8"/>
        <v>57</v>
      </c>
      <c r="C59" s="40">
        <f t="shared" si="9"/>
        <v>13549607334.625124</v>
      </c>
      <c r="D59" s="41">
        <f>'System Assumptions'!$E$11/12</f>
        <v>75242280</v>
      </c>
      <c r="E59" s="41">
        <f>-'System Assumptions'!$E$10/12</f>
        <v>-133627000</v>
      </c>
      <c r="F59" s="41">
        <f>IF(I58&lt;'System Assumptions'!$E$29,'Hydrological Data Model'!$E$33/12,'Hydrological Data Model'!$E$33/12)</f>
        <v>183636903.52495179</v>
      </c>
      <c r="G59" s="42">
        <f>IF(I58&lt;'System Assumptions'!$E$29,0,-(MIN('Hydrological Data Model'!$E$34,'Hydrological Data Model'!$E$33-'System Assumptions'!$E$12))/12)</f>
        <v>-125252183.52495177</v>
      </c>
      <c r="H59" s="42">
        <f t="shared" si="0"/>
        <v>13549607334.625124</v>
      </c>
      <c r="I59" s="106">
        <f>H59/'System Assumptions'!$F$15</f>
        <v>15.252270619126433</v>
      </c>
      <c r="J59" s="42">
        <f>'System Assumptions'!$E$30+'System Assumptions'!$E$28-'Data Model Calculations'!I59</f>
        <v>64.501329380873571</v>
      </c>
      <c r="K59" s="45">
        <f t="shared" si="2"/>
        <v>65.251789061072273</v>
      </c>
      <c r="L59" s="46">
        <f t="shared" si="10"/>
        <v>884136119659316.38</v>
      </c>
      <c r="M59" s="47">
        <f>D59/1000*('System Assumptions'!$F$20*1000000)</f>
        <v>276691425000.00018</v>
      </c>
      <c r="N59" s="48"/>
      <c r="O59" s="49">
        <f>(F59/1000)*('System Assumptions'!$F$21*1000000)</f>
        <v>6427291623373.3125</v>
      </c>
      <c r="P59" s="49">
        <f t="shared" si="1"/>
        <v>-8172929058808.8643</v>
      </c>
      <c r="Q59" s="48">
        <f t="shared" si="11"/>
        <v>882667173648880.88</v>
      </c>
      <c r="R59" s="53">
        <f t="shared" si="12"/>
        <v>65.143376619725601</v>
      </c>
      <c r="S59" s="52">
        <v>35</v>
      </c>
    </row>
    <row r="60" spans="1:19">
      <c r="A60" s="3">
        <f t="shared" si="3"/>
        <v>5</v>
      </c>
      <c r="B60" s="3">
        <f t="shared" si="8"/>
        <v>58</v>
      </c>
      <c r="C60" s="40">
        <f t="shared" si="9"/>
        <v>13549607334.625124</v>
      </c>
      <c r="D60" s="41">
        <f>'System Assumptions'!$E$11/12</f>
        <v>75242280</v>
      </c>
      <c r="E60" s="41">
        <f>-'System Assumptions'!$E$10/12</f>
        <v>-133627000</v>
      </c>
      <c r="F60" s="41">
        <f>IF(I59&lt;'System Assumptions'!$E$29,'Hydrological Data Model'!$E$33/12,'Hydrological Data Model'!$E$33/12)</f>
        <v>183636903.52495179</v>
      </c>
      <c r="G60" s="42">
        <f>IF(I59&lt;'System Assumptions'!$E$29,0,-(MIN('Hydrological Data Model'!$E$34,'Hydrological Data Model'!$E$33-'System Assumptions'!$E$12))/12)</f>
        <v>-125252183.52495177</v>
      </c>
      <c r="H60" s="42">
        <f t="shared" si="0"/>
        <v>13549607334.625124</v>
      </c>
      <c r="I60" s="106">
        <f>H60/'System Assumptions'!$F$15</f>
        <v>15.252270619126433</v>
      </c>
      <c r="J60" s="42">
        <f>'System Assumptions'!$E$30+'System Assumptions'!$E$28-'Data Model Calculations'!I60</f>
        <v>64.501329380873571</v>
      </c>
      <c r="K60" s="45">
        <f t="shared" si="2"/>
        <v>65.143376619725601</v>
      </c>
      <c r="L60" s="46">
        <f t="shared" si="10"/>
        <v>882667173648880.88</v>
      </c>
      <c r="M60" s="47">
        <f>D60/1000*('System Assumptions'!$F$20*1000000)</f>
        <v>276691425000.00018</v>
      </c>
      <c r="N60" s="48"/>
      <c r="O60" s="49">
        <f>(F60/1000)*('System Assumptions'!$F$21*1000000)</f>
        <v>6427291623373.3125</v>
      </c>
      <c r="P60" s="49">
        <f t="shared" si="1"/>
        <v>-8159350163808.9229</v>
      </c>
      <c r="Q60" s="48">
        <f t="shared" si="11"/>
        <v>881211806533445.38</v>
      </c>
      <c r="R60" s="53">
        <f t="shared" si="12"/>
        <v>65.035966339892894</v>
      </c>
      <c r="S60" s="52">
        <v>35</v>
      </c>
    </row>
    <row r="61" spans="1:19">
      <c r="A61" s="3">
        <f t="shared" si="3"/>
        <v>5</v>
      </c>
      <c r="B61" s="3">
        <f t="shared" si="8"/>
        <v>59</v>
      </c>
      <c r="C61" s="40">
        <f t="shared" si="9"/>
        <v>13549607334.625124</v>
      </c>
      <c r="D61" s="41">
        <f>'System Assumptions'!$E$11/12</f>
        <v>75242280</v>
      </c>
      <c r="E61" s="41">
        <f>-'System Assumptions'!$E$10/12</f>
        <v>-133627000</v>
      </c>
      <c r="F61" s="41">
        <f>IF(I60&lt;'System Assumptions'!$E$29,'Hydrological Data Model'!$E$33/12,'Hydrological Data Model'!$E$33/12)</f>
        <v>183636903.52495179</v>
      </c>
      <c r="G61" s="42">
        <f>IF(I60&lt;'System Assumptions'!$E$29,0,-(MIN('Hydrological Data Model'!$E$34,'Hydrological Data Model'!$E$33-'System Assumptions'!$E$12))/12)</f>
        <v>-125252183.52495177</v>
      </c>
      <c r="H61" s="42">
        <f t="shared" si="0"/>
        <v>13549607334.625124</v>
      </c>
      <c r="I61" s="106">
        <f>H61/'System Assumptions'!$F$15</f>
        <v>15.252270619126433</v>
      </c>
      <c r="J61" s="42">
        <f>'System Assumptions'!$E$30+'System Assumptions'!$E$28-'Data Model Calculations'!I61</f>
        <v>64.501329380873571</v>
      </c>
      <c r="K61" s="45">
        <f t="shared" si="2"/>
        <v>65.035966339892894</v>
      </c>
      <c r="L61" s="46">
        <f t="shared" si="10"/>
        <v>881211806533445.38</v>
      </c>
      <c r="M61" s="47">
        <f>D61/1000*('System Assumptions'!$F$20*1000000)</f>
        <v>276691425000.00018</v>
      </c>
      <c r="N61" s="48"/>
      <c r="O61" s="49">
        <f>(F61/1000)*('System Assumptions'!$F$21*1000000)</f>
        <v>6427291623373.3125</v>
      </c>
      <c r="P61" s="49">
        <f t="shared" si="1"/>
        <v>-8145896791726.8496</v>
      </c>
      <c r="Q61" s="48">
        <f t="shared" si="11"/>
        <v>879769892790091.88</v>
      </c>
      <c r="R61" s="53">
        <f t="shared" si="12"/>
        <v>64.929548957621691</v>
      </c>
      <c r="S61" s="52">
        <v>35</v>
      </c>
    </row>
    <row r="62" spans="1:19">
      <c r="A62" s="3">
        <f t="shared" si="3"/>
        <v>5</v>
      </c>
      <c r="B62" s="3">
        <f t="shared" si="8"/>
        <v>60</v>
      </c>
      <c r="C62" s="40">
        <f t="shared" si="9"/>
        <v>13549607334.625124</v>
      </c>
      <c r="D62" s="41">
        <f>'System Assumptions'!$E$11/12</f>
        <v>75242280</v>
      </c>
      <c r="E62" s="41">
        <f>-'System Assumptions'!$E$10/12</f>
        <v>-133627000</v>
      </c>
      <c r="F62" s="41">
        <f>IF(I61&lt;'System Assumptions'!$E$29,'Hydrological Data Model'!$E$33/12,'Hydrological Data Model'!$E$33/12)</f>
        <v>183636903.52495179</v>
      </c>
      <c r="G62" s="42">
        <f>IF(I61&lt;'System Assumptions'!$E$29,0,-(MIN('Hydrological Data Model'!$E$34,'Hydrological Data Model'!$E$33-'System Assumptions'!$E$12))/12)</f>
        <v>-125252183.52495177</v>
      </c>
      <c r="H62" s="42">
        <f t="shared" si="0"/>
        <v>13549607334.625124</v>
      </c>
      <c r="I62" s="106">
        <f>H62/'System Assumptions'!$F$15</f>
        <v>15.252270619126433</v>
      </c>
      <c r="J62" s="42">
        <f>'System Assumptions'!$E$30+'System Assumptions'!$E$28-'Data Model Calculations'!I62</f>
        <v>64.501329380873571</v>
      </c>
      <c r="K62" s="45">
        <f t="shared" si="2"/>
        <v>64.929548957621691</v>
      </c>
      <c r="L62" s="46">
        <f t="shared" si="10"/>
        <v>879769892790091.88</v>
      </c>
      <c r="M62" s="47">
        <f>D62/1000*('System Assumptions'!$F$20*1000000)</f>
        <v>276691425000.00018</v>
      </c>
      <c r="N62" s="48"/>
      <c r="O62" s="49">
        <f>(F62/1000)*('System Assumptions'!$F$21*1000000)</f>
        <v>6427291623373.3125</v>
      </c>
      <c r="P62" s="49">
        <f t="shared" si="1"/>
        <v>-8132567782232.373</v>
      </c>
      <c r="Q62" s="48">
        <f t="shared" si="11"/>
        <v>878341308056232.88</v>
      </c>
      <c r="R62" s="53">
        <f t="shared" si="12"/>
        <v>64.824115294595273</v>
      </c>
      <c r="S62" s="52">
        <v>35</v>
      </c>
    </row>
    <row r="63" spans="1:19">
      <c r="A63" s="3">
        <f t="shared" si="3"/>
        <v>6</v>
      </c>
      <c r="B63" s="3">
        <f t="shared" si="8"/>
        <v>61</v>
      </c>
      <c r="C63" s="40">
        <f t="shared" si="9"/>
        <v>13549607334.625124</v>
      </c>
      <c r="D63" s="41">
        <f>'System Assumptions'!$E$11/12</f>
        <v>75242280</v>
      </c>
      <c r="E63" s="41">
        <f>-'System Assumptions'!$E$10/12</f>
        <v>-133627000</v>
      </c>
      <c r="F63" s="41">
        <f>IF(I62&lt;'System Assumptions'!$E$29,'Hydrological Data Model'!$E$33/12,'Hydrological Data Model'!$E$33/12)</f>
        <v>183636903.52495179</v>
      </c>
      <c r="G63" s="42">
        <f>IF(I62&lt;'System Assumptions'!$E$29,0,-(MIN('Hydrological Data Model'!$E$34,'Hydrological Data Model'!$E$33-'System Assumptions'!$E$12))/12)</f>
        <v>-125252183.52495177</v>
      </c>
      <c r="H63" s="42">
        <f t="shared" si="0"/>
        <v>13549607334.625124</v>
      </c>
      <c r="I63" s="106">
        <f>H63/'System Assumptions'!$F$15</f>
        <v>15.252270619126433</v>
      </c>
      <c r="J63" s="42">
        <f>'System Assumptions'!$E$30+'System Assumptions'!$E$28-'Data Model Calculations'!I63</f>
        <v>64.501329380873571</v>
      </c>
      <c r="K63" s="45">
        <f t="shared" si="2"/>
        <v>64.824115294595273</v>
      </c>
      <c r="L63" s="46">
        <f t="shared" si="10"/>
        <v>878341308056232.88</v>
      </c>
      <c r="M63" s="47">
        <f>D63/1000*('System Assumptions'!$F$20*1000000)</f>
        <v>276691425000.00018</v>
      </c>
      <c r="N63" s="48"/>
      <c r="O63" s="49">
        <f>(F63/1000)*('System Assumptions'!$F$21*1000000)</f>
        <v>6427291623373.3125</v>
      </c>
      <c r="P63" s="49">
        <f t="shared" si="1"/>
        <v>-8119361985721.2803</v>
      </c>
      <c r="Q63" s="48">
        <f t="shared" si="11"/>
        <v>876925929118885</v>
      </c>
      <c r="R63" s="53">
        <f t="shared" si="12"/>
        <v>64.719656257341043</v>
      </c>
      <c r="S63" s="52">
        <v>35</v>
      </c>
    </row>
    <row r="64" spans="1:19">
      <c r="A64" s="3">
        <f t="shared" si="3"/>
        <v>6</v>
      </c>
      <c r="B64" s="3">
        <f t="shared" si="8"/>
        <v>62</v>
      </c>
      <c r="C64" s="40">
        <f t="shared" si="9"/>
        <v>13549607334.625124</v>
      </c>
      <c r="D64" s="41">
        <f>'System Assumptions'!$E$11/12</f>
        <v>75242280</v>
      </c>
      <c r="E64" s="41">
        <f>-'System Assumptions'!$E$10/12</f>
        <v>-133627000</v>
      </c>
      <c r="F64" s="41">
        <f>IF(I63&lt;'System Assumptions'!$E$29,'Hydrological Data Model'!$E$33/12,'Hydrological Data Model'!$E$33/12)</f>
        <v>183636903.52495179</v>
      </c>
      <c r="G64" s="42">
        <f>IF(I63&lt;'System Assumptions'!$E$29,0,-(MIN('Hydrological Data Model'!$E$34,'Hydrological Data Model'!$E$33-'System Assumptions'!$E$12))/12)</f>
        <v>-125252183.52495177</v>
      </c>
      <c r="H64" s="42">
        <f t="shared" si="0"/>
        <v>13549607334.625124</v>
      </c>
      <c r="I64" s="106">
        <f>H64/'System Assumptions'!$F$15</f>
        <v>15.252270619126433</v>
      </c>
      <c r="J64" s="42">
        <f>'System Assumptions'!$E$30+'System Assumptions'!$E$28-'Data Model Calculations'!I64</f>
        <v>64.501329380873571</v>
      </c>
      <c r="K64" s="45">
        <f t="shared" si="2"/>
        <v>64.719656257341043</v>
      </c>
      <c r="L64" s="46">
        <f t="shared" si="10"/>
        <v>876925929118885</v>
      </c>
      <c r="M64" s="47">
        <f>D64/1000*('System Assumptions'!$F$20*1000000)</f>
        <v>276691425000.00018</v>
      </c>
      <c r="N64" s="48"/>
      <c r="O64" s="49">
        <f>(F64/1000)*('System Assumptions'!$F$21*1000000)</f>
        <v>6427291623373.3125</v>
      </c>
      <c r="P64" s="49">
        <f t="shared" si="1"/>
        <v>-8106278263216.2734</v>
      </c>
      <c r="Q64" s="48">
        <f t="shared" si="11"/>
        <v>875523633904042</v>
      </c>
      <c r="R64" s="53">
        <f t="shared" si="12"/>
        <v>64.616162836446136</v>
      </c>
      <c r="S64" s="52">
        <v>35</v>
      </c>
    </row>
    <row r="65" spans="1:19">
      <c r="A65" s="3">
        <f t="shared" si="3"/>
        <v>6</v>
      </c>
      <c r="B65" s="3">
        <f t="shared" si="8"/>
        <v>63</v>
      </c>
      <c r="C65" s="40">
        <f t="shared" si="9"/>
        <v>13549607334.625124</v>
      </c>
      <c r="D65" s="41">
        <f>'System Assumptions'!$E$11/12</f>
        <v>75242280</v>
      </c>
      <c r="E65" s="41">
        <f>-'System Assumptions'!$E$10/12</f>
        <v>-133627000</v>
      </c>
      <c r="F65" s="41">
        <f>IF(I64&lt;'System Assumptions'!$E$29,'Hydrological Data Model'!$E$33/12,'Hydrological Data Model'!$E$33/12)</f>
        <v>183636903.52495179</v>
      </c>
      <c r="G65" s="42">
        <f>IF(I64&lt;'System Assumptions'!$E$29,0,-(MIN('Hydrological Data Model'!$E$34,'Hydrological Data Model'!$E$33-'System Assumptions'!$E$12))/12)</f>
        <v>-125252183.52495177</v>
      </c>
      <c r="H65" s="42">
        <f t="shared" si="0"/>
        <v>13549607334.625124</v>
      </c>
      <c r="I65" s="106">
        <f>H65/'System Assumptions'!$F$15</f>
        <v>15.252270619126433</v>
      </c>
      <c r="J65" s="42">
        <f>'System Assumptions'!$E$30+'System Assumptions'!$E$28-'Data Model Calculations'!I65</f>
        <v>64.501329380873571</v>
      </c>
      <c r="K65" s="45">
        <f t="shared" si="2"/>
        <v>64.616162836446136</v>
      </c>
      <c r="L65" s="46">
        <f t="shared" si="10"/>
        <v>875523633904042</v>
      </c>
      <c r="M65" s="47">
        <f>D65/1000*('System Assumptions'!$F$20*1000000)</f>
        <v>276691425000.00018</v>
      </c>
      <c r="N65" s="48"/>
      <c r="O65" s="49">
        <f>(F65/1000)*('System Assumptions'!$F$21*1000000)</f>
        <v>6427291623373.3125</v>
      </c>
      <c r="P65" s="49">
        <f t="shared" si="1"/>
        <v>-8093315486268.7188</v>
      </c>
      <c r="Q65" s="48">
        <f t="shared" si="11"/>
        <v>874134301466146.5</v>
      </c>
      <c r="R65" s="53">
        <f t="shared" si="12"/>
        <v>64.513626105780517</v>
      </c>
      <c r="S65" s="52">
        <v>35</v>
      </c>
    </row>
    <row r="66" spans="1:19">
      <c r="A66" s="3">
        <f t="shared" si="3"/>
        <v>6</v>
      </c>
      <c r="B66" s="3">
        <f t="shared" si="8"/>
        <v>64</v>
      </c>
      <c r="C66" s="40">
        <f t="shared" si="9"/>
        <v>13549607334.625124</v>
      </c>
      <c r="D66" s="41">
        <f>'System Assumptions'!$E$11/12</f>
        <v>75242280</v>
      </c>
      <c r="E66" s="41">
        <f>-'System Assumptions'!$E$10/12</f>
        <v>-133627000</v>
      </c>
      <c r="F66" s="41">
        <f>IF(I65&lt;'System Assumptions'!$E$29,'Hydrological Data Model'!$E$33/12,'Hydrological Data Model'!$E$33/12)</f>
        <v>183636903.52495179</v>
      </c>
      <c r="G66" s="42">
        <f>IF(I65&lt;'System Assumptions'!$E$29,0,-(MIN('Hydrological Data Model'!$E$34,'Hydrological Data Model'!$E$33-'System Assumptions'!$E$12))/12)</f>
        <v>-125252183.52495177</v>
      </c>
      <c r="H66" s="42">
        <f t="shared" si="0"/>
        <v>13549607334.625124</v>
      </c>
      <c r="I66" s="106">
        <f>H66/'System Assumptions'!$F$15</f>
        <v>15.252270619126433</v>
      </c>
      <c r="J66" s="42">
        <f>'System Assumptions'!$E$30+'System Assumptions'!$E$28-'Data Model Calculations'!I66</f>
        <v>64.501329380873571</v>
      </c>
      <c r="K66" s="45">
        <f t="shared" si="2"/>
        <v>64.513626105780517</v>
      </c>
      <c r="L66" s="46">
        <f t="shared" si="10"/>
        <v>874134301466146.5</v>
      </c>
      <c r="M66" s="47">
        <f>D66/1000*('System Assumptions'!$F$20*1000000)</f>
        <v>276691425000.00018</v>
      </c>
      <c r="N66" s="48"/>
      <c r="O66" s="49">
        <f>(F66/1000)*('System Assumptions'!$F$21*1000000)</f>
        <v>6427291623373.3125</v>
      </c>
      <c r="P66" s="49">
        <f t="shared" si="1"/>
        <v>-8080472536861.3408</v>
      </c>
      <c r="Q66" s="48">
        <f t="shared" si="11"/>
        <v>872757811977658.38</v>
      </c>
      <c r="R66" s="53">
        <f t="shared" si="12"/>
        <v>64.412037221726976</v>
      </c>
      <c r="S66" s="52">
        <v>35</v>
      </c>
    </row>
    <row r="67" spans="1:19">
      <c r="A67" s="3">
        <f t="shared" si="3"/>
        <v>6</v>
      </c>
      <c r="B67" s="3">
        <f t="shared" si="8"/>
        <v>65</v>
      </c>
      <c r="C67" s="40">
        <f t="shared" si="9"/>
        <v>13549607334.625124</v>
      </c>
      <c r="D67" s="41">
        <f>'System Assumptions'!$E$11/12</f>
        <v>75242280</v>
      </c>
      <c r="E67" s="41">
        <f>-'System Assumptions'!$E$10/12</f>
        <v>-133627000</v>
      </c>
      <c r="F67" s="41">
        <f>IF(I66&lt;'System Assumptions'!$E$29,'Hydrological Data Model'!$E$33/12,'Hydrological Data Model'!$E$33/12)</f>
        <v>183636903.52495179</v>
      </c>
      <c r="G67" s="42">
        <f>IF(I66&lt;'System Assumptions'!$E$29,0,-(MIN('Hydrological Data Model'!$E$34,'Hydrological Data Model'!$E$33-'System Assumptions'!$E$12))/12)</f>
        <v>-125252183.52495177</v>
      </c>
      <c r="H67" s="42">
        <f t="shared" ref="H67:H130" si="13">SUM(C67:G67)</f>
        <v>13549607334.625124</v>
      </c>
      <c r="I67" s="106">
        <f>H67/'System Assumptions'!$F$15</f>
        <v>15.252270619126433</v>
      </c>
      <c r="J67" s="42">
        <f>'System Assumptions'!$E$30+'System Assumptions'!$E$28-'Data Model Calculations'!I67</f>
        <v>64.501329380873571</v>
      </c>
      <c r="K67" s="45">
        <f t="shared" si="2"/>
        <v>64.412037221726976</v>
      </c>
      <c r="L67" s="46">
        <f t="shared" si="10"/>
        <v>872757811977658.38</v>
      </c>
      <c r="M67" s="47">
        <f>D67/1000*('System Assumptions'!$F$20*1000000)</f>
        <v>276691425000.00018</v>
      </c>
      <c r="N67" s="48"/>
      <c r="O67" s="49">
        <f>(F67/1000)*('System Assumptions'!$F$21*1000000)</f>
        <v>6427291623373.3125</v>
      </c>
      <c r="P67" s="49">
        <f t="shared" ref="P67:P130" si="14">(G67*1000000)*K67/1000</f>
        <v>-8067748307311.7715</v>
      </c>
      <c r="Q67" s="48">
        <f t="shared" si="11"/>
        <v>871394046718720</v>
      </c>
      <c r="R67" s="53">
        <f t="shared" si="12"/>
        <v>64.31138742241852</v>
      </c>
      <c r="S67" s="52">
        <v>35</v>
      </c>
    </row>
    <row r="68" spans="1:19">
      <c r="A68" s="3">
        <f t="shared" si="3"/>
        <v>6</v>
      </c>
      <c r="B68" s="3">
        <f t="shared" si="8"/>
        <v>66</v>
      </c>
      <c r="C68" s="40">
        <f t="shared" si="9"/>
        <v>13549607334.625124</v>
      </c>
      <c r="D68" s="41">
        <f>'System Assumptions'!$E$11/12</f>
        <v>75242280</v>
      </c>
      <c r="E68" s="41">
        <f>-'System Assumptions'!$E$10/12</f>
        <v>-133627000</v>
      </c>
      <c r="F68" s="41">
        <f>IF(I67&lt;'System Assumptions'!$E$29,'Hydrological Data Model'!$E$33/12,'Hydrological Data Model'!$E$33/12)</f>
        <v>183636903.52495179</v>
      </c>
      <c r="G68" s="42">
        <f>IF(I67&lt;'System Assumptions'!$E$29,0,-(MIN('Hydrological Data Model'!$E$34,'Hydrological Data Model'!$E$33-'System Assumptions'!$E$12))/12)</f>
        <v>-125252183.52495177</v>
      </c>
      <c r="H68" s="42">
        <f t="shared" si="13"/>
        <v>13549607334.625124</v>
      </c>
      <c r="I68" s="106">
        <f>H68/'System Assumptions'!$F$15</f>
        <v>15.252270619126433</v>
      </c>
      <c r="J68" s="42">
        <f>'System Assumptions'!$E$30+'System Assumptions'!$E$28-'Data Model Calculations'!I68</f>
        <v>64.501329380873571</v>
      </c>
      <c r="K68" s="45">
        <f t="shared" ref="K68:K131" si="15">R67</f>
        <v>64.31138742241852</v>
      </c>
      <c r="L68" s="46">
        <f t="shared" si="10"/>
        <v>871394046718720</v>
      </c>
      <c r="M68" s="47">
        <f>D68/1000*('System Assumptions'!$F$20*1000000)</f>
        <v>276691425000.00018</v>
      </c>
      <c r="N68" s="48"/>
      <c r="O68" s="49">
        <f>(F68/1000)*('System Assumptions'!$F$21*1000000)</f>
        <v>6427291623373.3125</v>
      </c>
      <c r="P68" s="49">
        <f t="shared" si="14"/>
        <v>-8055141700177.0391</v>
      </c>
      <c r="Q68" s="48">
        <f t="shared" si="11"/>
        <v>870042888066916.25</v>
      </c>
      <c r="R68" s="53">
        <f t="shared" si="12"/>
        <v>64.211668026982537</v>
      </c>
      <c r="S68" s="52">
        <v>35</v>
      </c>
    </row>
    <row r="69" spans="1:19">
      <c r="A69" s="3">
        <f t="shared" ref="A69:A132" si="16">IF(MOD(B69,12)=1,A68+1,A68)</f>
        <v>6</v>
      </c>
      <c r="B69" s="3">
        <f t="shared" si="8"/>
        <v>67</v>
      </c>
      <c r="C69" s="40">
        <f t="shared" si="9"/>
        <v>13549607334.625124</v>
      </c>
      <c r="D69" s="41">
        <f>'System Assumptions'!$E$11/12</f>
        <v>75242280</v>
      </c>
      <c r="E69" s="41">
        <f>-'System Assumptions'!$E$10/12</f>
        <v>-133627000</v>
      </c>
      <c r="F69" s="41">
        <f>IF(I68&lt;'System Assumptions'!$E$29,'Hydrological Data Model'!$E$33/12,'Hydrological Data Model'!$E$33/12)</f>
        <v>183636903.52495179</v>
      </c>
      <c r="G69" s="42">
        <f>IF(I68&lt;'System Assumptions'!$E$29,0,-(MIN('Hydrological Data Model'!$E$34,'Hydrological Data Model'!$E$33-'System Assumptions'!$E$12))/12)</f>
        <v>-125252183.52495177</v>
      </c>
      <c r="H69" s="42">
        <f t="shared" si="13"/>
        <v>13549607334.625124</v>
      </c>
      <c r="I69" s="106">
        <f>H69/'System Assumptions'!$F$15</f>
        <v>15.252270619126433</v>
      </c>
      <c r="J69" s="42">
        <f>'System Assumptions'!$E$30+'System Assumptions'!$E$28-'Data Model Calculations'!I69</f>
        <v>64.501329380873571</v>
      </c>
      <c r="K69" s="45">
        <f t="shared" si="15"/>
        <v>64.211668026982537</v>
      </c>
      <c r="L69" s="46">
        <f t="shared" si="10"/>
        <v>870042888066916.25</v>
      </c>
      <c r="M69" s="47">
        <f>D69/1000*('System Assumptions'!$F$20*1000000)</f>
        <v>276691425000.00018</v>
      </c>
      <c r="N69" s="48"/>
      <c r="O69" s="49">
        <f>(F69/1000)*('System Assumptions'!$F$21*1000000)</f>
        <v>6427291623373.3125</v>
      </c>
      <c r="P69" s="49">
        <f t="shared" si="14"/>
        <v>-8042651628158.8936</v>
      </c>
      <c r="Q69" s="48">
        <f t="shared" si="11"/>
        <v>868704219487130.63</v>
      </c>
      <c r="R69" s="53">
        <f t="shared" si="12"/>
        <v>64.1128704347922</v>
      </c>
      <c r="S69" s="52">
        <v>35</v>
      </c>
    </row>
    <row r="70" spans="1:19">
      <c r="A70" s="3">
        <f t="shared" si="16"/>
        <v>6</v>
      </c>
      <c r="B70" s="3">
        <f t="shared" si="8"/>
        <v>68</v>
      </c>
      <c r="C70" s="40">
        <f t="shared" si="9"/>
        <v>13549607334.625124</v>
      </c>
      <c r="D70" s="41">
        <f>'System Assumptions'!$E$11/12</f>
        <v>75242280</v>
      </c>
      <c r="E70" s="41">
        <f>-'System Assumptions'!$E$10/12</f>
        <v>-133627000</v>
      </c>
      <c r="F70" s="41">
        <f>IF(I69&lt;'System Assumptions'!$E$29,'Hydrological Data Model'!$E$33/12,'Hydrological Data Model'!$E$33/12)</f>
        <v>183636903.52495179</v>
      </c>
      <c r="G70" s="42">
        <f>IF(I69&lt;'System Assumptions'!$E$29,0,-(MIN('Hydrological Data Model'!$E$34,'Hydrological Data Model'!$E$33-'System Assumptions'!$E$12))/12)</f>
        <v>-125252183.52495177</v>
      </c>
      <c r="H70" s="42">
        <f t="shared" si="13"/>
        <v>13549607334.625124</v>
      </c>
      <c r="I70" s="106">
        <f>H70/'System Assumptions'!$F$15</f>
        <v>15.252270619126433</v>
      </c>
      <c r="J70" s="42">
        <f>'System Assumptions'!$E$30+'System Assumptions'!$E$28-'Data Model Calculations'!I70</f>
        <v>64.501329380873571</v>
      </c>
      <c r="K70" s="45">
        <f t="shared" si="15"/>
        <v>64.1128704347922</v>
      </c>
      <c r="L70" s="46">
        <f t="shared" si="10"/>
        <v>868704219487130.63</v>
      </c>
      <c r="M70" s="47">
        <f>D70/1000*('System Assumptions'!$F$20*1000000)</f>
        <v>276691425000.00018</v>
      </c>
      <c r="N70" s="48"/>
      <c r="O70" s="49">
        <f>(F70/1000)*('System Assumptions'!$F$21*1000000)</f>
        <v>6427291623373.3125</v>
      </c>
      <c r="P70" s="49">
        <f t="shared" si="14"/>
        <v>-8030277014010.0469</v>
      </c>
      <c r="Q70" s="48">
        <f t="shared" si="11"/>
        <v>867377925521494</v>
      </c>
      <c r="R70" s="53">
        <f t="shared" si="12"/>
        <v>64.014986124724601</v>
      </c>
      <c r="S70" s="52">
        <v>35</v>
      </c>
    </row>
    <row r="71" spans="1:19">
      <c r="A71" s="3">
        <f t="shared" si="16"/>
        <v>6</v>
      </c>
      <c r="B71" s="3">
        <f t="shared" si="8"/>
        <v>69</v>
      </c>
      <c r="C71" s="40">
        <f t="shared" si="9"/>
        <v>13549607334.625124</v>
      </c>
      <c r="D71" s="41">
        <f>'System Assumptions'!$E$11/12</f>
        <v>75242280</v>
      </c>
      <c r="E71" s="41">
        <f>-'System Assumptions'!$E$10/12</f>
        <v>-133627000</v>
      </c>
      <c r="F71" s="41">
        <f>IF(I70&lt;'System Assumptions'!$E$29,'Hydrological Data Model'!$E$33/12,'Hydrological Data Model'!$E$33/12)</f>
        <v>183636903.52495179</v>
      </c>
      <c r="G71" s="42">
        <f>IF(I70&lt;'System Assumptions'!$E$29,0,-(MIN('Hydrological Data Model'!$E$34,'Hydrological Data Model'!$E$33-'System Assumptions'!$E$12))/12)</f>
        <v>-125252183.52495177</v>
      </c>
      <c r="H71" s="42">
        <f t="shared" si="13"/>
        <v>13549607334.625124</v>
      </c>
      <c r="I71" s="106">
        <f>H71/'System Assumptions'!$F$15</f>
        <v>15.252270619126433</v>
      </c>
      <c r="J71" s="42">
        <f>'System Assumptions'!$E$30+'System Assumptions'!$E$28-'Data Model Calculations'!I71</f>
        <v>64.501329380873571</v>
      </c>
      <c r="K71" s="45">
        <f t="shared" si="15"/>
        <v>64.014986124724601</v>
      </c>
      <c r="L71" s="46">
        <f t="shared" si="10"/>
        <v>867377925521494</v>
      </c>
      <c r="M71" s="47">
        <f>D71/1000*('System Assumptions'!$F$20*1000000)</f>
        <v>276691425000.00018</v>
      </c>
      <c r="N71" s="48"/>
      <c r="O71" s="49">
        <f>(F71/1000)*('System Assumptions'!$F$21*1000000)</f>
        <v>6427291623373.3125</v>
      </c>
      <c r="P71" s="49">
        <f t="shared" si="14"/>
        <v>-8018016790441.2471</v>
      </c>
      <c r="Q71" s="48">
        <f t="shared" si="11"/>
        <v>866063891779426</v>
      </c>
      <c r="R71" s="53">
        <f t="shared" si="12"/>
        <v>63.918006654425852</v>
      </c>
      <c r="S71" s="52">
        <v>35</v>
      </c>
    </row>
    <row r="72" spans="1:19">
      <c r="A72" s="3">
        <f t="shared" si="16"/>
        <v>6</v>
      </c>
      <c r="B72" s="3">
        <f t="shared" si="8"/>
        <v>70</v>
      </c>
      <c r="C72" s="40">
        <f t="shared" si="9"/>
        <v>13549607334.625124</v>
      </c>
      <c r="D72" s="41">
        <f>'System Assumptions'!$E$11/12</f>
        <v>75242280</v>
      </c>
      <c r="E72" s="41">
        <f>-'System Assumptions'!$E$10/12</f>
        <v>-133627000</v>
      </c>
      <c r="F72" s="41">
        <f>IF(I71&lt;'System Assumptions'!$E$29,'Hydrological Data Model'!$E$33/12,'Hydrological Data Model'!$E$33/12)</f>
        <v>183636903.52495179</v>
      </c>
      <c r="G72" s="42">
        <f>IF(I71&lt;'System Assumptions'!$E$29,0,-(MIN('Hydrological Data Model'!$E$34,'Hydrological Data Model'!$E$33-'System Assumptions'!$E$12))/12)</f>
        <v>-125252183.52495177</v>
      </c>
      <c r="H72" s="42">
        <f t="shared" si="13"/>
        <v>13549607334.625124</v>
      </c>
      <c r="I72" s="106">
        <f>H72/'System Assumptions'!$F$15</f>
        <v>15.252270619126433</v>
      </c>
      <c r="J72" s="42">
        <f>'System Assumptions'!$E$30+'System Assumptions'!$E$28-'Data Model Calculations'!I72</f>
        <v>64.501329380873571</v>
      </c>
      <c r="K72" s="45">
        <f t="shared" si="15"/>
        <v>63.918006654425852</v>
      </c>
      <c r="L72" s="46">
        <f t="shared" si="10"/>
        <v>866063891779426</v>
      </c>
      <c r="M72" s="47">
        <f>D72/1000*('System Assumptions'!$F$20*1000000)</f>
        <v>276691425000.00018</v>
      </c>
      <c r="N72" s="48"/>
      <c r="O72" s="49">
        <f>(F72/1000)*('System Assumptions'!$F$21*1000000)</f>
        <v>6427291623373.3125</v>
      </c>
      <c r="P72" s="49">
        <f t="shared" si="14"/>
        <v>-8005869900029.2354</v>
      </c>
      <c r="Q72" s="48">
        <f t="shared" si="11"/>
        <v>864762004927770</v>
      </c>
      <c r="R72" s="53">
        <f t="shared" si="12"/>
        <v>63.821923659582957</v>
      </c>
      <c r="S72" s="52">
        <v>35</v>
      </c>
    </row>
    <row r="73" spans="1:19">
      <c r="A73" s="3">
        <f t="shared" si="16"/>
        <v>6</v>
      </c>
      <c r="B73" s="3">
        <f t="shared" si="8"/>
        <v>71</v>
      </c>
      <c r="C73" s="40">
        <f t="shared" si="9"/>
        <v>13549607334.625124</v>
      </c>
      <c r="D73" s="41">
        <f>'System Assumptions'!$E$11/12</f>
        <v>75242280</v>
      </c>
      <c r="E73" s="41">
        <f>-'System Assumptions'!$E$10/12</f>
        <v>-133627000</v>
      </c>
      <c r="F73" s="41">
        <f>IF(I72&lt;'System Assumptions'!$E$29,'Hydrological Data Model'!$E$33/12,'Hydrological Data Model'!$E$33/12)</f>
        <v>183636903.52495179</v>
      </c>
      <c r="G73" s="42">
        <f>IF(I72&lt;'System Assumptions'!$E$29,0,-(MIN('Hydrological Data Model'!$E$34,'Hydrological Data Model'!$E$33-'System Assumptions'!$E$12))/12)</f>
        <v>-125252183.52495177</v>
      </c>
      <c r="H73" s="42">
        <f t="shared" si="13"/>
        <v>13549607334.625124</v>
      </c>
      <c r="I73" s="106">
        <f>H73/'System Assumptions'!$F$15</f>
        <v>15.252270619126433</v>
      </c>
      <c r="J73" s="42">
        <f>'System Assumptions'!$E$30+'System Assumptions'!$E$28-'Data Model Calculations'!I73</f>
        <v>64.501329380873571</v>
      </c>
      <c r="K73" s="45">
        <f t="shared" si="15"/>
        <v>63.821923659582957</v>
      </c>
      <c r="L73" s="46">
        <f t="shared" si="10"/>
        <v>864762004927770</v>
      </c>
      <c r="M73" s="47">
        <f>D73/1000*('System Assumptions'!$F$20*1000000)</f>
        <v>276691425000.00018</v>
      </c>
      <c r="N73" s="48"/>
      <c r="O73" s="49">
        <f>(F73/1000)*('System Assumptions'!$F$21*1000000)</f>
        <v>6427291623373.3125</v>
      </c>
      <c r="P73" s="49">
        <f t="shared" si="14"/>
        <v>-7993835295125.5459</v>
      </c>
      <c r="Q73" s="48">
        <f t="shared" si="11"/>
        <v>863472152681017.75</v>
      </c>
      <c r="R73" s="53">
        <f t="shared" si="12"/>
        <v>63.726728853202395</v>
      </c>
      <c r="S73" s="52">
        <v>35</v>
      </c>
    </row>
    <row r="74" spans="1:19">
      <c r="A74" s="3">
        <f t="shared" si="16"/>
        <v>6</v>
      </c>
      <c r="B74" s="3">
        <f t="shared" si="8"/>
        <v>72</v>
      </c>
      <c r="C74" s="40">
        <f t="shared" si="9"/>
        <v>13549607334.625124</v>
      </c>
      <c r="D74" s="41">
        <f>'System Assumptions'!$E$11/12</f>
        <v>75242280</v>
      </c>
      <c r="E74" s="41">
        <f>-'System Assumptions'!$E$10/12</f>
        <v>-133627000</v>
      </c>
      <c r="F74" s="41">
        <f>IF(I73&lt;'System Assumptions'!$E$29,'Hydrological Data Model'!$E$33/12,'Hydrological Data Model'!$E$33/12)</f>
        <v>183636903.52495179</v>
      </c>
      <c r="G74" s="42">
        <f>IF(I73&lt;'System Assumptions'!$E$29,0,-(MIN('Hydrological Data Model'!$E$34,'Hydrological Data Model'!$E$33-'System Assumptions'!$E$12))/12)</f>
        <v>-125252183.52495177</v>
      </c>
      <c r="H74" s="42">
        <f t="shared" si="13"/>
        <v>13549607334.625124</v>
      </c>
      <c r="I74" s="106">
        <f>H74/'System Assumptions'!$F$15</f>
        <v>15.252270619126433</v>
      </c>
      <c r="J74" s="42">
        <f>'System Assumptions'!$E$30+'System Assumptions'!$E$28-'Data Model Calculations'!I74</f>
        <v>64.501329380873571</v>
      </c>
      <c r="K74" s="45">
        <f t="shared" si="15"/>
        <v>63.726728853202395</v>
      </c>
      <c r="L74" s="46">
        <f t="shared" si="10"/>
        <v>863472152681017.75</v>
      </c>
      <c r="M74" s="47">
        <f>D74/1000*('System Assumptions'!$F$20*1000000)</f>
        <v>276691425000.00018</v>
      </c>
      <c r="N74" s="48"/>
      <c r="O74" s="49">
        <f>(F74/1000)*('System Assumptions'!$F$21*1000000)</f>
        <v>6427291623373.3125</v>
      </c>
      <c r="P74" s="49">
        <f t="shared" si="14"/>
        <v>-7981911937766.1445</v>
      </c>
      <c r="Q74" s="48">
        <f t="shared" si="11"/>
        <v>862194223791624.88</v>
      </c>
      <c r="R74" s="53">
        <f t="shared" si="12"/>
        <v>63.632414024895361</v>
      </c>
      <c r="S74" s="52">
        <v>35</v>
      </c>
    </row>
    <row r="75" spans="1:19">
      <c r="A75" s="3">
        <f t="shared" si="16"/>
        <v>7</v>
      </c>
      <c r="B75" s="3">
        <f t="shared" si="8"/>
        <v>73</v>
      </c>
      <c r="C75" s="40">
        <f t="shared" si="9"/>
        <v>13549607334.625124</v>
      </c>
      <c r="D75" s="41">
        <f>'System Assumptions'!$E$11/12</f>
        <v>75242280</v>
      </c>
      <c r="E75" s="41">
        <f>-'System Assumptions'!$E$10/12</f>
        <v>-133627000</v>
      </c>
      <c r="F75" s="41">
        <f>IF(I74&lt;'System Assumptions'!$E$29,'Hydrological Data Model'!$E$33/12,'Hydrological Data Model'!$E$33/12)</f>
        <v>183636903.52495179</v>
      </c>
      <c r="G75" s="42">
        <f>IF(I74&lt;'System Assumptions'!$E$29,0,-(MIN('Hydrological Data Model'!$E$34,'Hydrological Data Model'!$E$33-'System Assumptions'!$E$12))/12)</f>
        <v>-125252183.52495177</v>
      </c>
      <c r="H75" s="42">
        <f t="shared" si="13"/>
        <v>13549607334.625124</v>
      </c>
      <c r="I75" s="106">
        <f>H75/'System Assumptions'!$F$15</f>
        <v>15.252270619126433</v>
      </c>
      <c r="J75" s="42">
        <f>'System Assumptions'!$E$30+'System Assumptions'!$E$28-'Data Model Calculations'!I75</f>
        <v>64.501329380873571</v>
      </c>
      <c r="K75" s="45">
        <f t="shared" si="15"/>
        <v>63.632414024895361</v>
      </c>
      <c r="L75" s="46">
        <f t="shared" si="10"/>
        <v>862194223791624.88</v>
      </c>
      <c r="M75" s="47">
        <f>D75/1000*('System Assumptions'!$F$20*1000000)</f>
        <v>276691425000.00018</v>
      </c>
      <c r="N75" s="48"/>
      <c r="O75" s="49">
        <f>(F75/1000)*('System Assumptions'!$F$21*1000000)</f>
        <v>6427291623373.3125</v>
      </c>
      <c r="P75" s="49">
        <f t="shared" si="14"/>
        <v>-7970098799581.9082</v>
      </c>
      <c r="Q75" s="48">
        <f t="shared" si="11"/>
        <v>860928108040416.38</v>
      </c>
      <c r="R75" s="53">
        <f t="shared" si="12"/>
        <v>63.538971040169677</v>
      </c>
      <c r="S75" s="52">
        <v>35</v>
      </c>
    </row>
    <row r="76" spans="1:19">
      <c r="A76" s="3">
        <f t="shared" si="16"/>
        <v>7</v>
      </c>
      <c r="B76" s="3">
        <f t="shared" si="8"/>
        <v>74</v>
      </c>
      <c r="C76" s="40">
        <f t="shared" si="9"/>
        <v>13549607334.625124</v>
      </c>
      <c r="D76" s="41">
        <f>'System Assumptions'!$E$11/12</f>
        <v>75242280</v>
      </c>
      <c r="E76" s="41">
        <f>-'System Assumptions'!$E$10/12</f>
        <v>-133627000</v>
      </c>
      <c r="F76" s="41">
        <f>IF(I75&lt;'System Assumptions'!$E$29,'Hydrological Data Model'!$E$33/12,'Hydrological Data Model'!$E$33/12)</f>
        <v>183636903.52495179</v>
      </c>
      <c r="G76" s="42">
        <f>IF(I75&lt;'System Assumptions'!$E$29,0,-(MIN('Hydrological Data Model'!$E$34,'Hydrological Data Model'!$E$33-'System Assumptions'!$E$12))/12)</f>
        <v>-125252183.52495177</v>
      </c>
      <c r="H76" s="42">
        <f t="shared" si="13"/>
        <v>13549607334.625124</v>
      </c>
      <c r="I76" s="106">
        <f>H76/'System Assumptions'!$F$15</f>
        <v>15.252270619126433</v>
      </c>
      <c r="J76" s="42">
        <f>'System Assumptions'!$E$30+'System Assumptions'!$E$28-'Data Model Calculations'!I76</f>
        <v>64.501329380873571</v>
      </c>
      <c r="K76" s="45">
        <f t="shared" si="15"/>
        <v>63.538971040169677</v>
      </c>
      <c r="L76" s="46">
        <f t="shared" si="10"/>
        <v>860928108040416.38</v>
      </c>
      <c r="M76" s="47">
        <f>D76/1000*('System Assumptions'!$F$20*1000000)</f>
        <v>276691425000.00018</v>
      </c>
      <c r="N76" s="48"/>
      <c r="O76" s="49">
        <f>(F76/1000)*('System Assumptions'!$F$21*1000000)</f>
        <v>6427291623373.3125</v>
      </c>
      <c r="P76" s="49">
        <f t="shared" si="14"/>
        <v>-7958394861709.9277</v>
      </c>
      <c r="Q76" s="48">
        <f t="shared" si="11"/>
        <v>859673696227079.88</v>
      </c>
      <c r="R76" s="53">
        <f t="shared" si="12"/>
        <v>63.446391839728136</v>
      </c>
      <c r="S76" s="52">
        <v>35</v>
      </c>
    </row>
    <row r="77" spans="1:19">
      <c r="A77" s="3">
        <f t="shared" si="16"/>
        <v>7</v>
      </c>
      <c r="B77" s="3">
        <f t="shared" si="8"/>
        <v>75</v>
      </c>
      <c r="C77" s="40">
        <f t="shared" si="9"/>
        <v>13549607334.625124</v>
      </c>
      <c r="D77" s="41">
        <f>'System Assumptions'!$E$11/12</f>
        <v>75242280</v>
      </c>
      <c r="E77" s="41">
        <f>-'System Assumptions'!$E$10/12</f>
        <v>-133627000</v>
      </c>
      <c r="F77" s="41">
        <f>IF(I76&lt;'System Assumptions'!$E$29,'Hydrological Data Model'!$E$33/12,'Hydrological Data Model'!$E$33/12)</f>
        <v>183636903.52495179</v>
      </c>
      <c r="G77" s="42">
        <f>IF(I76&lt;'System Assumptions'!$E$29,0,-(MIN('Hydrological Data Model'!$E$34,'Hydrological Data Model'!$E$33-'System Assumptions'!$E$12))/12)</f>
        <v>-125252183.52495177</v>
      </c>
      <c r="H77" s="42">
        <f t="shared" si="13"/>
        <v>13549607334.625124</v>
      </c>
      <c r="I77" s="106">
        <f>H77/'System Assumptions'!$F$15</f>
        <v>15.252270619126433</v>
      </c>
      <c r="J77" s="42">
        <f>'System Assumptions'!$E$30+'System Assumptions'!$E$28-'Data Model Calculations'!I77</f>
        <v>64.501329380873571</v>
      </c>
      <c r="K77" s="45">
        <f t="shared" si="15"/>
        <v>63.446391839728136</v>
      </c>
      <c r="L77" s="46">
        <f t="shared" si="10"/>
        <v>859673696227079.88</v>
      </c>
      <c r="M77" s="47">
        <f>D77/1000*('System Assumptions'!$F$20*1000000)</f>
        <v>276691425000.00018</v>
      </c>
      <c r="N77" s="48"/>
      <c r="O77" s="49">
        <f>(F77/1000)*('System Assumptions'!$F$21*1000000)</f>
        <v>6427291623373.3125</v>
      </c>
      <c r="P77" s="49">
        <f t="shared" si="14"/>
        <v>-7946799114705.6309</v>
      </c>
      <c r="Q77" s="48">
        <f t="shared" si="11"/>
        <v>858430880160747.63</v>
      </c>
      <c r="R77" s="53">
        <f t="shared" si="12"/>
        <v>63.354668438773452</v>
      </c>
      <c r="S77" s="52">
        <v>35</v>
      </c>
    </row>
    <row r="78" spans="1:19">
      <c r="A78" s="3">
        <f t="shared" si="16"/>
        <v>7</v>
      </c>
      <c r="B78" s="3">
        <f t="shared" si="8"/>
        <v>76</v>
      </c>
      <c r="C78" s="40">
        <f t="shared" si="9"/>
        <v>13549607334.625124</v>
      </c>
      <c r="D78" s="41">
        <f>'System Assumptions'!$E$11/12</f>
        <v>75242280</v>
      </c>
      <c r="E78" s="41">
        <f>-'System Assumptions'!$E$10/12</f>
        <v>-133627000</v>
      </c>
      <c r="F78" s="41">
        <f>IF(I77&lt;'System Assumptions'!$E$29,'Hydrological Data Model'!$E$33/12,'Hydrological Data Model'!$E$33/12)</f>
        <v>183636903.52495179</v>
      </c>
      <c r="G78" s="42">
        <f>IF(I77&lt;'System Assumptions'!$E$29,0,-(MIN('Hydrological Data Model'!$E$34,'Hydrological Data Model'!$E$33-'System Assumptions'!$E$12))/12)</f>
        <v>-125252183.52495177</v>
      </c>
      <c r="H78" s="42">
        <f t="shared" si="13"/>
        <v>13549607334.625124</v>
      </c>
      <c r="I78" s="106">
        <f>H78/'System Assumptions'!$F$15</f>
        <v>15.252270619126433</v>
      </c>
      <c r="J78" s="42">
        <f>'System Assumptions'!$E$30+'System Assumptions'!$E$28-'Data Model Calculations'!I78</f>
        <v>64.501329380873571</v>
      </c>
      <c r="K78" s="45">
        <f t="shared" si="15"/>
        <v>63.354668438773452</v>
      </c>
      <c r="L78" s="46">
        <f t="shared" si="10"/>
        <v>858430880160747.63</v>
      </c>
      <c r="M78" s="47">
        <f>D78/1000*('System Assumptions'!$F$20*1000000)</f>
        <v>276691425000.00018</v>
      </c>
      <c r="N78" s="48"/>
      <c r="O78" s="49">
        <f>(F78/1000)*('System Assumptions'!$F$21*1000000)</f>
        <v>6427291623373.3125</v>
      </c>
      <c r="P78" s="49">
        <f t="shared" si="14"/>
        <v>-7935310558455.7217</v>
      </c>
      <c r="Q78" s="48">
        <f t="shared" si="11"/>
        <v>857199552650665.25</v>
      </c>
      <c r="R78" s="53">
        <f t="shared" si="12"/>
        <v>63.26379292631961</v>
      </c>
      <c r="S78" s="52">
        <v>35</v>
      </c>
    </row>
    <row r="79" spans="1:19">
      <c r="A79" s="3">
        <f t="shared" si="16"/>
        <v>7</v>
      </c>
      <c r="B79" s="3">
        <f t="shared" si="8"/>
        <v>77</v>
      </c>
      <c r="C79" s="40">
        <f t="shared" si="9"/>
        <v>13549607334.625124</v>
      </c>
      <c r="D79" s="41">
        <f>'System Assumptions'!$E$11/12</f>
        <v>75242280</v>
      </c>
      <c r="E79" s="41">
        <f>-'System Assumptions'!$E$10/12</f>
        <v>-133627000</v>
      </c>
      <c r="F79" s="41">
        <f>IF(I78&lt;'System Assumptions'!$E$29,'Hydrological Data Model'!$E$33/12,'Hydrological Data Model'!$E$33/12)</f>
        <v>183636903.52495179</v>
      </c>
      <c r="G79" s="42">
        <f>IF(I78&lt;'System Assumptions'!$E$29,0,-(MIN('Hydrological Data Model'!$E$34,'Hydrological Data Model'!$E$33-'System Assumptions'!$E$12))/12)</f>
        <v>-125252183.52495177</v>
      </c>
      <c r="H79" s="42">
        <f t="shared" si="13"/>
        <v>13549607334.625124</v>
      </c>
      <c r="I79" s="106">
        <f>H79/'System Assumptions'!$F$15</f>
        <v>15.252270619126433</v>
      </c>
      <c r="J79" s="42">
        <f>'System Assumptions'!$E$30+'System Assumptions'!$E$28-'Data Model Calculations'!I79</f>
        <v>64.501329380873571</v>
      </c>
      <c r="K79" s="45">
        <f t="shared" si="15"/>
        <v>63.26379292631961</v>
      </c>
      <c r="L79" s="46">
        <f t="shared" si="10"/>
        <v>857199552650665.25</v>
      </c>
      <c r="M79" s="47">
        <f>D79/1000*('System Assumptions'!$F$20*1000000)</f>
        <v>276691425000.00018</v>
      </c>
      <c r="N79" s="48"/>
      <c r="O79" s="49">
        <f>(F79/1000)*('System Assumptions'!$F$21*1000000)</f>
        <v>6427291623373.3125</v>
      </c>
      <c r="P79" s="49">
        <f t="shared" si="14"/>
        <v>-7923928202091.9287</v>
      </c>
      <c r="Q79" s="48">
        <f t="shared" si="11"/>
        <v>855979607496946.63</v>
      </c>
      <c r="R79" s="53">
        <f t="shared" si="12"/>
        <v>63.173757464509507</v>
      </c>
      <c r="S79" s="52">
        <v>35</v>
      </c>
    </row>
    <row r="80" spans="1:19">
      <c r="A80" s="3">
        <f t="shared" si="16"/>
        <v>7</v>
      </c>
      <c r="B80" s="3">
        <f t="shared" ref="B80:B143" si="17">B79+1</f>
        <v>78</v>
      </c>
      <c r="C80" s="40">
        <f t="shared" si="9"/>
        <v>13549607334.625124</v>
      </c>
      <c r="D80" s="41">
        <f>'System Assumptions'!$E$11/12</f>
        <v>75242280</v>
      </c>
      <c r="E80" s="41">
        <f>-'System Assumptions'!$E$10/12</f>
        <v>-133627000</v>
      </c>
      <c r="F80" s="41">
        <f>IF(I79&lt;'System Assumptions'!$E$29,'Hydrological Data Model'!$E$33/12,'Hydrological Data Model'!$E$33/12)</f>
        <v>183636903.52495179</v>
      </c>
      <c r="G80" s="42">
        <f>IF(I79&lt;'System Assumptions'!$E$29,0,-(MIN('Hydrological Data Model'!$E$34,'Hydrological Data Model'!$E$33-'System Assumptions'!$E$12))/12)</f>
        <v>-125252183.52495177</v>
      </c>
      <c r="H80" s="42">
        <f t="shared" si="13"/>
        <v>13549607334.625124</v>
      </c>
      <c r="I80" s="106">
        <f>H80/'System Assumptions'!$F$15</f>
        <v>15.252270619126433</v>
      </c>
      <c r="J80" s="42">
        <f>'System Assumptions'!$E$30+'System Assumptions'!$E$28-'Data Model Calculations'!I80</f>
        <v>64.501329380873571</v>
      </c>
      <c r="K80" s="45">
        <f t="shared" si="15"/>
        <v>63.173757464509507</v>
      </c>
      <c r="L80" s="46">
        <f t="shared" si="10"/>
        <v>855979607496946.63</v>
      </c>
      <c r="M80" s="47">
        <f>D80/1000*('System Assumptions'!$F$20*1000000)</f>
        <v>276691425000.00018</v>
      </c>
      <c r="N80" s="48"/>
      <c r="O80" s="49">
        <f>(F80/1000)*('System Assumptions'!$F$21*1000000)</f>
        <v>6427291623373.3125</v>
      </c>
      <c r="P80" s="49">
        <f t="shared" si="14"/>
        <v>-7912651063905.5361</v>
      </c>
      <c r="Q80" s="48">
        <f t="shared" si="11"/>
        <v>854770939481414.5</v>
      </c>
      <c r="R80" s="53">
        <f t="shared" si="12"/>
        <v>63.084554287938957</v>
      </c>
      <c r="S80" s="52">
        <v>35</v>
      </c>
    </row>
    <row r="81" spans="1:19">
      <c r="A81" s="3">
        <f t="shared" si="16"/>
        <v>7</v>
      </c>
      <c r="B81" s="3">
        <f t="shared" si="17"/>
        <v>79</v>
      </c>
      <c r="C81" s="40">
        <f t="shared" si="9"/>
        <v>13549607334.625124</v>
      </c>
      <c r="D81" s="41">
        <f>'System Assumptions'!$E$11/12</f>
        <v>75242280</v>
      </c>
      <c r="E81" s="41">
        <f>-'System Assumptions'!$E$10/12</f>
        <v>-133627000</v>
      </c>
      <c r="F81" s="41">
        <f>IF(I80&lt;'System Assumptions'!$E$29,'Hydrological Data Model'!$E$33/12,'Hydrological Data Model'!$E$33/12)</f>
        <v>183636903.52495179</v>
      </c>
      <c r="G81" s="42">
        <f>IF(I80&lt;'System Assumptions'!$E$29,0,-(MIN('Hydrological Data Model'!$E$34,'Hydrological Data Model'!$E$33-'System Assumptions'!$E$12))/12)</f>
        <v>-125252183.52495177</v>
      </c>
      <c r="H81" s="42">
        <f t="shared" si="13"/>
        <v>13549607334.625124</v>
      </c>
      <c r="I81" s="106">
        <f>H81/'System Assumptions'!$F$15</f>
        <v>15.252270619126433</v>
      </c>
      <c r="J81" s="42">
        <f>'System Assumptions'!$E$30+'System Assumptions'!$E$28-'Data Model Calculations'!I81</f>
        <v>64.501329380873571</v>
      </c>
      <c r="K81" s="45">
        <f t="shared" si="15"/>
        <v>63.084554287938957</v>
      </c>
      <c r="L81" s="46">
        <f t="shared" si="10"/>
        <v>854770939481414.5</v>
      </c>
      <c r="M81" s="47">
        <f>D81/1000*('System Assumptions'!$F$20*1000000)</f>
        <v>276691425000.00018</v>
      </c>
      <c r="N81" s="48"/>
      <c r="O81" s="49">
        <f>(F81/1000)*('System Assumptions'!$F$21*1000000)</f>
        <v>6427291623373.3125</v>
      </c>
      <c r="P81" s="49">
        <f t="shared" si="14"/>
        <v>-7901478171262.7129</v>
      </c>
      <c r="Q81" s="48">
        <f t="shared" si="11"/>
        <v>853573444358525</v>
      </c>
      <c r="R81" s="53">
        <f t="shared" si="12"/>
        <v>62.996175702986953</v>
      </c>
      <c r="S81" s="52">
        <v>35</v>
      </c>
    </row>
    <row r="82" spans="1:19">
      <c r="A82" s="3">
        <f t="shared" si="16"/>
        <v>7</v>
      </c>
      <c r="B82" s="3">
        <f t="shared" si="17"/>
        <v>80</v>
      </c>
      <c r="C82" s="40">
        <f t="shared" si="9"/>
        <v>13549607334.625124</v>
      </c>
      <c r="D82" s="41">
        <f>'System Assumptions'!$E$11/12</f>
        <v>75242280</v>
      </c>
      <c r="E82" s="41">
        <f>-'System Assumptions'!$E$10/12</f>
        <v>-133627000</v>
      </c>
      <c r="F82" s="41">
        <f>IF(I81&lt;'System Assumptions'!$E$29,'Hydrological Data Model'!$E$33/12,'Hydrological Data Model'!$E$33/12)</f>
        <v>183636903.52495179</v>
      </c>
      <c r="G82" s="42">
        <f>IF(I81&lt;'System Assumptions'!$E$29,0,-(MIN('Hydrological Data Model'!$E$34,'Hydrological Data Model'!$E$33-'System Assumptions'!$E$12))/12)</f>
        <v>-125252183.52495177</v>
      </c>
      <c r="H82" s="42">
        <f t="shared" si="13"/>
        <v>13549607334.625124</v>
      </c>
      <c r="I82" s="106">
        <f>H82/'System Assumptions'!$F$15</f>
        <v>15.252270619126433</v>
      </c>
      <c r="J82" s="42">
        <f>'System Assumptions'!$E$30+'System Assumptions'!$E$28-'Data Model Calculations'!I82</f>
        <v>64.501329380873571</v>
      </c>
      <c r="K82" s="45">
        <f t="shared" si="15"/>
        <v>62.996175702986953</v>
      </c>
      <c r="L82" s="46">
        <f t="shared" si="10"/>
        <v>853573444358525</v>
      </c>
      <c r="M82" s="47">
        <f>D82/1000*('System Assumptions'!$F$20*1000000)</f>
        <v>276691425000.00018</v>
      </c>
      <c r="N82" s="48"/>
      <c r="O82" s="49">
        <f>(F82/1000)*('System Assumptions'!$F$21*1000000)</f>
        <v>6427291623373.3125</v>
      </c>
      <c r="P82" s="49">
        <f t="shared" si="14"/>
        <v>-7890408560520.6289</v>
      </c>
      <c r="Q82" s="48">
        <f t="shared" si="11"/>
        <v>852387018846377.63</v>
      </c>
      <c r="R82" s="53">
        <f t="shared" si="12"/>
        <v>62.90861408715211</v>
      </c>
      <c r="S82" s="52">
        <v>35</v>
      </c>
    </row>
    <row r="83" spans="1:19">
      <c r="A83" s="3">
        <f t="shared" si="16"/>
        <v>7</v>
      </c>
      <c r="B83" s="3">
        <f t="shared" si="17"/>
        <v>81</v>
      </c>
      <c r="C83" s="40">
        <f t="shared" si="9"/>
        <v>13549607334.625124</v>
      </c>
      <c r="D83" s="41">
        <f>'System Assumptions'!$E$11/12</f>
        <v>75242280</v>
      </c>
      <c r="E83" s="41">
        <f>-'System Assumptions'!$E$10/12</f>
        <v>-133627000</v>
      </c>
      <c r="F83" s="41">
        <f>IF(I82&lt;'System Assumptions'!$E$29,'Hydrological Data Model'!$E$33/12,'Hydrological Data Model'!$E$33/12)</f>
        <v>183636903.52495179</v>
      </c>
      <c r="G83" s="42">
        <f>IF(I82&lt;'System Assumptions'!$E$29,0,-(MIN('Hydrological Data Model'!$E$34,'Hydrological Data Model'!$E$33-'System Assumptions'!$E$12))/12)</f>
        <v>-125252183.52495177</v>
      </c>
      <c r="H83" s="42">
        <f t="shared" si="13"/>
        <v>13549607334.625124</v>
      </c>
      <c r="I83" s="106">
        <f>H83/'System Assumptions'!$F$15</f>
        <v>15.252270619126433</v>
      </c>
      <c r="J83" s="42">
        <f>'System Assumptions'!$E$30+'System Assumptions'!$E$28-'Data Model Calculations'!I83</f>
        <v>64.501329380873571</v>
      </c>
      <c r="K83" s="45">
        <f t="shared" si="15"/>
        <v>62.90861408715211</v>
      </c>
      <c r="L83" s="46">
        <f t="shared" si="10"/>
        <v>852387018846377.63</v>
      </c>
      <c r="M83" s="47">
        <f>D83/1000*('System Assumptions'!$F$20*1000000)</f>
        <v>276691425000.00018</v>
      </c>
      <c r="N83" s="48"/>
      <c r="O83" s="49">
        <f>(F83/1000)*('System Assumptions'!$F$21*1000000)</f>
        <v>6427291623373.3125</v>
      </c>
      <c r="P83" s="49">
        <f t="shared" si="14"/>
        <v>-7879441276944.3418</v>
      </c>
      <c r="Q83" s="48">
        <f t="shared" si="11"/>
        <v>851211560617806.63</v>
      </c>
      <c r="R83" s="53">
        <f t="shared" si="12"/>
        <v>62.821861888395233</v>
      </c>
      <c r="S83" s="52">
        <v>35</v>
      </c>
    </row>
    <row r="84" spans="1:19">
      <c r="A84" s="3">
        <f t="shared" si="16"/>
        <v>7</v>
      </c>
      <c r="B84" s="3">
        <f t="shared" si="17"/>
        <v>82</v>
      </c>
      <c r="C84" s="40">
        <f t="shared" si="9"/>
        <v>13549607334.625124</v>
      </c>
      <c r="D84" s="41">
        <f>'System Assumptions'!$E$11/12</f>
        <v>75242280</v>
      </c>
      <c r="E84" s="41">
        <f>-'System Assumptions'!$E$10/12</f>
        <v>-133627000</v>
      </c>
      <c r="F84" s="41">
        <f>IF(I83&lt;'System Assumptions'!$E$29,'Hydrological Data Model'!$E$33/12,'Hydrological Data Model'!$E$33/12)</f>
        <v>183636903.52495179</v>
      </c>
      <c r="G84" s="42">
        <f>IF(I83&lt;'System Assumptions'!$E$29,0,-(MIN('Hydrological Data Model'!$E$34,'Hydrological Data Model'!$E$33-'System Assumptions'!$E$12))/12)</f>
        <v>-125252183.52495177</v>
      </c>
      <c r="H84" s="42">
        <f t="shared" si="13"/>
        <v>13549607334.625124</v>
      </c>
      <c r="I84" s="106">
        <f>H84/'System Assumptions'!$F$15</f>
        <v>15.252270619126433</v>
      </c>
      <c r="J84" s="42">
        <f>'System Assumptions'!$E$30+'System Assumptions'!$E$28-'Data Model Calculations'!I84</f>
        <v>64.501329380873571</v>
      </c>
      <c r="K84" s="45">
        <f t="shared" si="15"/>
        <v>62.821861888395233</v>
      </c>
      <c r="L84" s="46">
        <f t="shared" si="10"/>
        <v>851211560617806.63</v>
      </c>
      <c r="M84" s="47">
        <f>D84/1000*('System Assumptions'!$F$20*1000000)</f>
        <v>276691425000.00018</v>
      </c>
      <c r="N84" s="48"/>
      <c r="O84" s="49">
        <f>(F84/1000)*('System Assumptions'!$F$21*1000000)</f>
        <v>6427291623373.3125</v>
      </c>
      <c r="P84" s="49">
        <f t="shared" si="14"/>
        <v>-7868575374624.4531</v>
      </c>
      <c r="Q84" s="48">
        <f t="shared" si="11"/>
        <v>850046968291555.5</v>
      </c>
      <c r="R84" s="53">
        <f t="shared" si="12"/>
        <v>62.735911624487947</v>
      </c>
      <c r="S84" s="52">
        <v>35</v>
      </c>
    </row>
    <row r="85" spans="1:19">
      <c r="A85" s="3">
        <f t="shared" si="16"/>
        <v>7</v>
      </c>
      <c r="B85" s="3">
        <f t="shared" si="17"/>
        <v>83</v>
      </c>
      <c r="C85" s="40">
        <f t="shared" si="9"/>
        <v>13549607334.625124</v>
      </c>
      <c r="D85" s="41">
        <f>'System Assumptions'!$E$11/12</f>
        <v>75242280</v>
      </c>
      <c r="E85" s="41">
        <f>-'System Assumptions'!$E$10/12</f>
        <v>-133627000</v>
      </c>
      <c r="F85" s="41">
        <f>IF(I84&lt;'System Assumptions'!$E$29,'Hydrological Data Model'!$E$33/12,'Hydrological Data Model'!$E$33/12)</f>
        <v>183636903.52495179</v>
      </c>
      <c r="G85" s="42">
        <f>IF(I84&lt;'System Assumptions'!$E$29,0,-(MIN('Hydrological Data Model'!$E$34,'Hydrological Data Model'!$E$33-'System Assumptions'!$E$12))/12)</f>
        <v>-125252183.52495177</v>
      </c>
      <c r="H85" s="42">
        <f t="shared" si="13"/>
        <v>13549607334.625124</v>
      </c>
      <c r="I85" s="106">
        <f>H85/'System Assumptions'!$F$15</f>
        <v>15.252270619126433</v>
      </c>
      <c r="J85" s="42">
        <f>'System Assumptions'!$E$30+'System Assumptions'!$E$28-'Data Model Calculations'!I85</f>
        <v>64.501329380873571</v>
      </c>
      <c r="K85" s="45">
        <f t="shared" si="15"/>
        <v>62.735911624487947</v>
      </c>
      <c r="L85" s="46">
        <f t="shared" si="10"/>
        <v>850046968291555.5</v>
      </c>
      <c r="M85" s="47">
        <f>D85/1000*('System Assumptions'!$F$20*1000000)</f>
        <v>276691425000.00018</v>
      </c>
      <c r="N85" s="48"/>
      <c r="O85" s="49">
        <f>(F85/1000)*('System Assumptions'!$F$21*1000000)</f>
        <v>6427291623373.3125</v>
      </c>
      <c r="P85" s="49">
        <f t="shared" si="14"/>
        <v>-7857809916395.5186</v>
      </c>
      <c r="Q85" s="48">
        <f t="shared" si="11"/>
        <v>848893141423533.25</v>
      </c>
      <c r="R85" s="53">
        <f t="shared" si="12"/>
        <v>62.650755882367392</v>
      </c>
      <c r="S85" s="52">
        <v>35</v>
      </c>
    </row>
    <row r="86" spans="1:19">
      <c r="A86" s="3">
        <f t="shared" si="16"/>
        <v>7</v>
      </c>
      <c r="B86" s="3">
        <f t="shared" si="17"/>
        <v>84</v>
      </c>
      <c r="C86" s="40">
        <f t="shared" si="9"/>
        <v>13549607334.625124</v>
      </c>
      <c r="D86" s="41">
        <f>'System Assumptions'!$E$11/12</f>
        <v>75242280</v>
      </c>
      <c r="E86" s="41">
        <f>-'System Assumptions'!$E$10/12</f>
        <v>-133627000</v>
      </c>
      <c r="F86" s="41">
        <f>IF(I85&lt;'System Assumptions'!$E$29,'Hydrological Data Model'!$E$33/12,'Hydrological Data Model'!$E$33/12)</f>
        <v>183636903.52495179</v>
      </c>
      <c r="G86" s="42">
        <f>IF(I85&lt;'System Assumptions'!$E$29,0,-(MIN('Hydrological Data Model'!$E$34,'Hydrological Data Model'!$E$33-'System Assumptions'!$E$12))/12)</f>
        <v>-125252183.52495177</v>
      </c>
      <c r="H86" s="42">
        <f t="shared" si="13"/>
        <v>13549607334.625124</v>
      </c>
      <c r="I86" s="106">
        <f>H86/'System Assumptions'!$F$15</f>
        <v>15.252270619126433</v>
      </c>
      <c r="J86" s="42">
        <f>'System Assumptions'!$E$30+'System Assumptions'!$E$28-'Data Model Calculations'!I86</f>
        <v>64.501329380873571</v>
      </c>
      <c r="K86" s="45">
        <f t="shared" si="15"/>
        <v>62.650755882367392</v>
      </c>
      <c r="L86" s="46">
        <f t="shared" si="10"/>
        <v>848893141423533.25</v>
      </c>
      <c r="M86" s="47">
        <f>D86/1000*('System Assumptions'!$F$20*1000000)</f>
        <v>276691425000.00018</v>
      </c>
      <c r="N86" s="48"/>
      <c r="O86" s="49">
        <f>(F86/1000)*('System Assumptions'!$F$21*1000000)</f>
        <v>6427291623373.3125</v>
      </c>
      <c r="P86" s="49">
        <f t="shared" si="14"/>
        <v>-7847143973755.2324</v>
      </c>
      <c r="Q86" s="48">
        <f t="shared" si="11"/>
        <v>847749980498151.25</v>
      </c>
      <c r="R86" s="53">
        <f t="shared" si="12"/>
        <v>62.566387317496826</v>
      </c>
      <c r="S86" s="52">
        <v>35</v>
      </c>
    </row>
    <row r="87" spans="1:19">
      <c r="A87" s="3">
        <f t="shared" si="16"/>
        <v>8</v>
      </c>
      <c r="B87" s="3">
        <f t="shared" si="17"/>
        <v>85</v>
      </c>
      <c r="C87" s="40">
        <f t="shared" si="9"/>
        <v>13549607334.625124</v>
      </c>
      <c r="D87" s="41">
        <f>'System Assumptions'!$E$11/12</f>
        <v>75242280</v>
      </c>
      <c r="E87" s="41">
        <f>-'System Assumptions'!$E$10/12</f>
        <v>-133627000</v>
      </c>
      <c r="F87" s="41">
        <f>IF(I86&lt;'System Assumptions'!$E$29,'Hydrological Data Model'!$E$33/12,'Hydrological Data Model'!$E$33/12)</f>
        <v>183636903.52495179</v>
      </c>
      <c r="G87" s="42">
        <f>IF(I86&lt;'System Assumptions'!$E$29,0,-(MIN('Hydrological Data Model'!$E$34,'Hydrological Data Model'!$E$33-'System Assumptions'!$E$12))/12)</f>
        <v>-125252183.52495177</v>
      </c>
      <c r="H87" s="42">
        <f t="shared" si="13"/>
        <v>13549607334.625124</v>
      </c>
      <c r="I87" s="106">
        <f>H87/'System Assumptions'!$F$15</f>
        <v>15.252270619126433</v>
      </c>
      <c r="J87" s="42">
        <f>'System Assumptions'!$E$30+'System Assumptions'!$E$28-'Data Model Calculations'!I87</f>
        <v>64.501329380873571</v>
      </c>
      <c r="K87" s="45">
        <f t="shared" si="15"/>
        <v>62.566387317496826</v>
      </c>
      <c r="L87" s="46">
        <f t="shared" si="10"/>
        <v>847749980498151.25</v>
      </c>
      <c r="M87" s="47">
        <f>D87/1000*('System Assumptions'!$F$20*1000000)</f>
        <v>276691425000.00018</v>
      </c>
      <c r="N87" s="48"/>
      <c r="O87" s="49">
        <f>(F87/1000)*('System Assumptions'!$F$21*1000000)</f>
        <v>6427291623373.3125</v>
      </c>
      <c r="P87" s="49">
        <f t="shared" si="14"/>
        <v>-7836576626784.3271</v>
      </c>
      <c r="Q87" s="48">
        <f t="shared" si="11"/>
        <v>846617386919740.13</v>
      </c>
      <c r="R87" s="53">
        <f t="shared" si="12"/>
        <v>62.482798653232223</v>
      </c>
      <c r="S87" s="52">
        <v>35</v>
      </c>
    </row>
    <row r="88" spans="1:19">
      <c r="A88" s="3">
        <f t="shared" si="16"/>
        <v>8</v>
      </c>
      <c r="B88" s="3">
        <f t="shared" si="17"/>
        <v>86</v>
      </c>
      <c r="C88" s="40">
        <f t="shared" si="9"/>
        <v>13549607334.625124</v>
      </c>
      <c r="D88" s="41">
        <f>'System Assumptions'!$E$11/12</f>
        <v>75242280</v>
      </c>
      <c r="E88" s="41">
        <f>-'System Assumptions'!$E$10/12</f>
        <v>-133627000</v>
      </c>
      <c r="F88" s="41">
        <f>IF(I87&lt;'System Assumptions'!$E$29,'Hydrological Data Model'!$E$33/12,'Hydrological Data Model'!$E$33/12)</f>
        <v>183636903.52495179</v>
      </c>
      <c r="G88" s="42">
        <f>IF(I87&lt;'System Assumptions'!$E$29,0,-(MIN('Hydrological Data Model'!$E$34,'Hydrological Data Model'!$E$33-'System Assumptions'!$E$12))/12)</f>
        <v>-125252183.52495177</v>
      </c>
      <c r="H88" s="42">
        <f t="shared" si="13"/>
        <v>13549607334.625124</v>
      </c>
      <c r="I88" s="106">
        <f>H88/'System Assumptions'!$F$15</f>
        <v>15.252270619126433</v>
      </c>
      <c r="J88" s="42">
        <f>'System Assumptions'!$E$30+'System Assumptions'!$E$28-'Data Model Calculations'!I88</f>
        <v>64.501329380873571</v>
      </c>
      <c r="K88" s="45">
        <f t="shared" si="15"/>
        <v>62.482798653232223</v>
      </c>
      <c r="L88" s="46">
        <f t="shared" si="10"/>
        <v>846617386919740.13</v>
      </c>
      <c r="M88" s="47">
        <f>D88/1000*('System Assumptions'!$F$20*1000000)</f>
        <v>276691425000.00018</v>
      </c>
      <c r="N88" s="48"/>
      <c r="O88" s="49">
        <f>(F88/1000)*('System Assumptions'!$F$21*1000000)</f>
        <v>6427291623373.3125</v>
      </c>
      <c r="P88" s="49">
        <f t="shared" si="14"/>
        <v>-7826106964067.251</v>
      </c>
      <c r="Q88" s="48">
        <f t="shared" si="11"/>
        <v>845495263004046.25</v>
      </c>
      <c r="R88" s="53">
        <f t="shared" si="12"/>
        <v>62.399982680194654</v>
      </c>
      <c r="S88" s="52">
        <v>35</v>
      </c>
    </row>
    <row r="89" spans="1:19">
      <c r="A89" s="3">
        <f t="shared" si="16"/>
        <v>8</v>
      </c>
      <c r="B89" s="3">
        <f t="shared" si="17"/>
        <v>87</v>
      </c>
      <c r="C89" s="40">
        <f t="shared" si="9"/>
        <v>13549607334.625124</v>
      </c>
      <c r="D89" s="41">
        <f>'System Assumptions'!$E$11/12</f>
        <v>75242280</v>
      </c>
      <c r="E89" s="41">
        <f>-'System Assumptions'!$E$10/12</f>
        <v>-133627000</v>
      </c>
      <c r="F89" s="41">
        <f>IF(I88&lt;'System Assumptions'!$E$29,'Hydrological Data Model'!$E$33/12,'Hydrological Data Model'!$E$33/12)</f>
        <v>183636903.52495179</v>
      </c>
      <c r="G89" s="42">
        <f>IF(I88&lt;'System Assumptions'!$E$29,0,-(MIN('Hydrological Data Model'!$E$34,'Hydrological Data Model'!$E$33-'System Assumptions'!$E$12))/12)</f>
        <v>-125252183.52495177</v>
      </c>
      <c r="H89" s="42">
        <f t="shared" si="13"/>
        <v>13549607334.625124</v>
      </c>
      <c r="I89" s="106">
        <f>H89/'System Assumptions'!$F$15</f>
        <v>15.252270619126433</v>
      </c>
      <c r="J89" s="42">
        <f>'System Assumptions'!$E$30+'System Assumptions'!$E$28-'Data Model Calculations'!I89</f>
        <v>64.501329380873571</v>
      </c>
      <c r="K89" s="45">
        <f t="shared" si="15"/>
        <v>62.399982680194654</v>
      </c>
      <c r="L89" s="46">
        <f t="shared" si="10"/>
        <v>845495263004046.25</v>
      </c>
      <c r="M89" s="47">
        <f>D89/1000*('System Assumptions'!$F$20*1000000)</f>
        <v>276691425000.00018</v>
      </c>
      <c r="N89" s="48"/>
      <c r="O89" s="49">
        <f>(F89/1000)*('System Assumptions'!$F$21*1000000)</f>
        <v>6427291623373.3125</v>
      </c>
      <c r="P89" s="49">
        <f t="shared" si="14"/>
        <v>-7815734082613.5518</v>
      </c>
      <c r="Q89" s="48">
        <f t="shared" si="11"/>
        <v>844383511969806</v>
      </c>
      <c r="R89" s="53">
        <f t="shared" si="12"/>
        <v>62.317932255648458</v>
      </c>
      <c r="S89" s="52">
        <v>35</v>
      </c>
    </row>
    <row r="90" spans="1:19">
      <c r="A90" s="3">
        <f t="shared" si="16"/>
        <v>8</v>
      </c>
      <c r="B90" s="3">
        <f t="shared" si="17"/>
        <v>88</v>
      </c>
      <c r="C90" s="40">
        <f t="shared" si="9"/>
        <v>13549607334.625124</v>
      </c>
      <c r="D90" s="41">
        <f>'System Assumptions'!$E$11/12</f>
        <v>75242280</v>
      </c>
      <c r="E90" s="41">
        <f>-'System Assumptions'!$E$10/12</f>
        <v>-133627000</v>
      </c>
      <c r="F90" s="41">
        <f>IF(I89&lt;'System Assumptions'!$E$29,'Hydrological Data Model'!$E$33/12,'Hydrological Data Model'!$E$33/12)</f>
        <v>183636903.52495179</v>
      </c>
      <c r="G90" s="42">
        <f>IF(I89&lt;'System Assumptions'!$E$29,0,-(MIN('Hydrological Data Model'!$E$34,'Hydrological Data Model'!$E$33-'System Assumptions'!$E$12))/12)</f>
        <v>-125252183.52495177</v>
      </c>
      <c r="H90" s="42">
        <f t="shared" si="13"/>
        <v>13549607334.625124</v>
      </c>
      <c r="I90" s="106">
        <f>H90/'System Assumptions'!$F$15</f>
        <v>15.252270619126433</v>
      </c>
      <c r="J90" s="42">
        <f>'System Assumptions'!$E$30+'System Assumptions'!$E$28-'Data Model Calculations'!I90</f>
        <v>64.501329380873571</v>
      </c>
      <c r="K90" s="45">
        <f t="shared" si="15"/>
        <v>62.317932255648458</v>
      </c>
      <c r="L90" s="46">
        <f t="shared" si="10"/>
        <v>844383511969806</v>
      </c>
      <c r="M90" s="47">
        <f>D90/1000*('System Assumptions'!$F$20*1000000)</f>
        <v>276691425000.00018</v>
      </c>
      <c r="N90" s="48"/>
      <c r="O90" s="49">
        <f>(F90/1000)*('System Assumptions'!$F$21*1000000)</f>
        <v>6427291623373.3125</v>
      </c>
      <c r="P90" s="49">
        <f t="shared" si="14"/>
        <v>-7805457087779.9922</v>
      </c>
      <c r="Q90" s="48">
        <f t="shared" si="11"/>
        <v>843282037930399.25</v>
      </c>
      <c r="R90" s="53">
        <f t="shared" si="12"/>
        <v>62.236640302885228</v>
      </c>
      <c r="S90" s="52">
        <v>35</v>
      </c>
    </row>
    <row r="91" spans="1:19">
      <c r="A91" s="3">
        <f t="shared" si="16"/>
        <v>8</v>
      </c>
      <c r="B91" s="3">
        <f t="shared" si="17"/>
        <v>89</v>
      </c>
      <c r="C91" s="40">
        <f t="shared" si="9"/>
        <v>13549607334.625124</v>
      </c>
      <c r="D91" s="41">
        <f>'System Assumptions'!$E$11/12</f>
        <v>75242280</v>
      </c>
      <c r="E91" s="41">
        <f>-'System Assumptions'!$E$10/12</f>
        <v>-133627000</v>
      </c>
      <c r="F91" s="41">
        <f>IF(I90&lt;'System Assumptions'!$E$29,'Hydrological Data Model'!$E$33/12,'Hydrological Data Model'!$E$33/12)</f>
        <v>183636903.52495179</v>
      </c>
      <c r="G91" s="42">
        <f>IF(I90&lt;'System Assumptions'!$E$29,0,-(MIN('Hydrological Data Model'!$E$34,'Hydrological Data Model'!$E$33-'System Assumptions'!$E$12))/12)</f>
        <v>-125252183.52495177</v>
      </c>
      <c r="H91" s="42">
        <f t="shared" si="13"/>
        <v>13549607334.625124</v>
      </c>
      <c r="I91" s="106">
        <f>H91/'System Assumptions'!$F$15</f>
        <v>15.252270619126433</v>
      </c>
      <c r="J91" s="42">
        <f>'System Assumptions'!$E$30+'System Assumptions'!$E$28-'Data Model Calculations'!I91</f>
        <v>64.501329380873571</v>
      </c>
      <c r="K91" s="45">
        <f t="shared" si="15"/>
        <v>62.236640302885228</v>
      </c>
      <c r="L91" s="46">
        <f t="shared" si="10"/>
        <v>843282037930399.25</v>
      </c>
      <c r="M91" s="47">
        <f>D91/1000*('System Assumptions'!$F$20*1000000)</f>
        <v>276691425000.00018</v>
      </c>
      <c r="N91" s="48"/>
      <c r="O91" s="49">
        <f>(F91/1000)*('System Assumptions'!$F$21*1000000)</f>
        <v>6427291623373.3125</v>
      </c>
      <c r="P91" s="49">
        <f t="shared" si="14"/>
        <v>-7795275093193.3896</v>
      </c>
      <c r="Q91" s="48">
        <f t="shared" si="11"/>
        <v>842190745885579.13</v>
      </c>
      <c r="R91" s="53">
        <f t="shared" si="12"/>
        <v>62.156099810613441</v>
      </c>
      <c r="S91" s="52">
        <v>35</v>
      </c>
    </row>
    <row r="92" spans="1:19">
      <c r="A92" s="3">
        <f t="shared" si="16"/>
        <v>8</v>
      </c>
      <c r="B92" s="3">
        <f t="shared" si="17"/>
        <v>90</v>
      </c>
      <c r="C92" s="40">
        <f t="shared" si="9"/>
        <v>13549607334.625124</v>
      </c>
      <c r="D92" s="41">
        <f>'System Assumptions'!$E$11/12</f>
        <v>75242280</v>
      </c>
      <c r="E92" s="41">
        <f>-'System Assumptions'!$E$10/12</f>
        <v>-133627000</v>
      </c>
      <c r="F92" s="41">
        <f>IF(I91&lt;'System Assumptions'!$E$29,'Hydrological Data Model'!$E$33/12,'Hydrological Data Model'!$E$33/12)</f>
        <v>183636903.52495179</v>
      </c>
      <c r="G92" s="42">
        <f>IF(I91&lt;'System Assumptions'!$E$29,0,-(MIN('Hydrological Data Model'!$E$34,'Hydrological Data Model'!$E$33-'System Assumptions'!$E$12))/12)</f>
        <v>-125252183.52495177</v>
      </c>
      <c r="H92" s="42">
        <f t="shared" si="13"/>
        <v>13549607334.625124</v>
      </c>
      <c r="I92" s="106">
        <f>H92/'System Assumptions'!$F$15</f>
        <v>15.252270619126433</v>
      </c>
      <c r="J92" s="42">
        <f>'System Assumptions'!$E$30+'System Assumptions'!$E$28-'Data Model Calculations'!I92</f>
        <v>64.501329380873571</v>
      </c>
      <c r="K92" s="45">
        <f t="shared" si="15"/>
        <v>62.156099810613441</v>
      </c>
      <c r="L92" s="46">
        <f t="shared" si="10"/>
        <v>842190745885579.13</v>
      </c>
      <c r="M92" s="47">
        <f>D92/1000*('System Assumptions'!$F$20*1000000)</f>
        <v>276691425000.00018</v>
      </c>
      <c r="N92" s="48"/>
      <c r="O92" s="49">
        <f>(F92/1000)*('System Assumptions'!$F$21*1000000)</f>
        <v>6427291623373.3125</v>
      </c>
      <c r="P92" s="49">
        <f t="shared" si="14"/>
        <v>-7785187220674.1738</v>
      </c>
      <c r="Q92" s="48">
        <f t="shared" si="11"/>
        <v>841109541713278.38</v>
      </c>
      <c r="R92" s="53">
        <f t="shared" si="12"/>
        <v>62.076303832353773</v>
      </c>
      <c r="S92" s="52">
        <v>35</v>
      </c>
    </row>
    <row r="93" spans="1:19">
      <c r="A93" s="3">
        <f t="shared" si="16"/>
        <v>8</v>
      </c>
      <c r="B93" s="3">
        <f t="shared" si="17"/>
        <v>91</v>
      </c>
      <c r="C93" s="40">
        <f t="shared" si="9"/>
        <v>13549607334.625124</v>
      </c>
      <c r="D93" s="41">
        <f>'System Assumptions'!$E$11/12</f>
        <v>75242280</v>
      </c>
      <c r="E93" s="41">
        <f>-'System Assumptions'!$E$10/12</f>
        <v>-133627000</v>
      </c>
      <c r="F93" s="41">
        <f>IF(I92&lt;'System Assumptions'!$E$29,'Hydrological Data Model'!$E$33/12,'Hydrological Data Model'!$E$33/12)</f>
        <v>183636903.52495179</v>
      </c>
      <c r="G93" s="42">
        <f>IF(I92&lt;'System Assumptions'!$E$29,0,-(MIN('Hydrological Data Model'!$E$34,'Hydrological Data Model'!$E$33-'System Assumptions'!$E$12))/12)</f>
        <v>-125252183.52495177</v>
      </c>
      <c r="H93" s="42">
        <f t="shared" si="13"/>
        <v>13549607334.625124</v>
      </c>
      <c r="I93" s="106">
        <f>H93/'System Assumptions'!$F$15</f>
        <v>15.252270619126433</v>
      </c>
      <c r="J93" s="42">
        <f>'System Assumptions'!$E$30+'System Assumptions'!$E$28-'Data Model Calculations'!I93</f>
        <v>64.501329380873571</v>
      </c>
      <c r="K93" s="45">
        <f t="shared" si="15"/>
        <v>62.076303832353773</v>
      </c>
      <c r="L93" s="46">
        <f t="shared" si="10"/>
        <v>841109541713278.38</v>
      </c>
      <c r="M93" s="47">
        <f>D93/1000*('System Assumptions'!$F$20*1000000)</f>
        <v>276691425000.00018</v>
      </c>
      <c r="N93" s="48"/>
      <c r="O93" s="49">
        <f>(F93/1000)*('System Assumptions'!$F$21*1000000)</f>
        <v>6427291623373.3125</v>
      </c>
      <c r="P93" s="49">
        <f t="shared" si="14"/>
        <v>-7775192600160.6406</v>
      </c>
      <c r="Q93" s="48">
        <f t="shared" si="11"/>
        <v>840038332161491.13</v>
      </c>
      <c r="R93" s="53">
        <f t="shared" si="12"/>
        <v>61.997245485839933</v>
      </c>
      <c r="S93" s="52">
        <v>35</v>
      </c>
    </row>
    <row r="94" spans="1:19">
      <c r="A94" s="3">
        <f t="shared" si="16"/>
        <v>8</v>
      </c>
      <c r="B94" s="3">
        <f t="shared" si="17"/>
        <v>92</v>
      </c>
      <c r="C94" s="40">
        <f t="shared" si="9"/>
        <v>13549607334.625124</v>
      </c>
      <c r="D94" s="41">
        <f>'System Assumptions'!$E$11/12</f>
        <v>75242280</v>
      </c>
      <c r="E94" s="41">
        <f>-'System Assumptions'!$E$10/12</f>
        <v>-133627000</v>
      </c>
      <c r="F94" s="41">
        <f>IF(I93&lt;'System Assumptions'!$E$29,'Hydrological Data Model'!$E$33/12,'Hydrological Data Model'!$E$33/12)</f>
        <v>183636903.52495179</v>
      </c>
      <c r="G94" s="42">
        <f>IF(I93&lt;'System Assumptions'!$E$29,0,-(MIN('Hydrological Data Model'!$E$34,'Hydrological Data Model'!$E$33-'System Assumptions'!$E$12))/12)</f>
        <v>-125252183.52495177</v>
      </c>
      <c r="H94" s="42">
        <f t="shared" si="13"/>
        <v>13549607334.625124</v>
      </c>
      <c r="I94" s="106">
        <f>H94/'System Assumptions'!$F$15</f>
        <v>15.252270619126433</v>
      </c>
      <c r="J94" s="42">
        <f>'System Assumptions'!$E$30+'System Assumptions'!$E$28-'Data Model Calculations'!I94</f>
        <v>64.501329380873571</v>
      </c>
      <c r="K94" s="45">
        <f t="shared" si="15"/>
        <v>61.997245485839933</v>
      </c>
      <c r="L94" s="46">
        <f t="shared" si="10"/>
        <v>840038332161491.13</v>
      </c>
      <c r="M94" s="47">
        <f>D94/1000*('System Assumptions'!$F$20*1000000)</f>
        <v>276691425000.00018</v>
      </c>
      <c r="N94" s="48"/>
      <c r="O94" s="49">
        <f>(F94/1000)*('System Assumptions'!$F$21*1000000)</f>
        <v>6427291623373.3125</v>
      </c>
      <c r="P94" s="49">
        <f t="shared" si="14"/>
        <v>-7765290369633.9111</v>
      </c>
      <c r="Q94" s="48">
        <f t="shared" si="11"/>
        <v>838977024840230.63</v>
      </c>
      <c r="R94" s="53">
        <f t="shared" si="12"/>
        <v>61.918917952425119</v>
      </c>
      <c r="S94" s="52">
        <v>35</v>
      </c>
    </row>
    <row r="95" spans="1:19">
      <c r="A95" s="3">
        <f t="shared" si="16"/>
        <v>8</v>
      </c>
      <c r="B95" s="3">
        <f t="shared" si="17"/>
        <v>93</v>
      </c>
      <c r="C95" s="40">
        <f t="shared" si="9"/>
        <v>13549607334.625124</v>
      </c>
      <c r="D95" s="41">
        <f>'System Assumptions'!$E$11/12</f>
        <v>75242280</v>
      </c>
      <c r="E95" s="41">
        <f>-'System Assumptions'!$E$10/12</f>
        <v>-133627000</v>
      </c>
      <c r="F95" s="41">
        <f>IF(I94&lt;'System Assumptions'!$E$29,'Hydrological Data Model'!$E$33/12,'Hydrological Data Model'!$E$33/12)</f>
        <v>183636903.52495179</v>
      </c>
      <c r="G95" s="42">
        <f>IF(I94&lt;'System Assumptions'!$E$29,0,-(MIN('Hydrological Data Model'!$E$34,'Hydrological Data Model'!$E$33-'System Assumptions'!$E$12))/12)</f>
        <v>-125252183.52495177</v>
      </c>
      <c r="H95" s="42">
        <f t="shared" si="13"/>
        <v>13549607334.625124</v>
      </c>
      <c r="I95" s="106">
        <f>H95/'System Assumptions'!$F$15</f>
        <v>15.252270619126433</v>
      </c>
      <c r="J95" s="42">
        <f>'System Assumptions'!$E$30+'System Assumptions'!$E$28-'Data Model Calculations'!I95</f>
        <v>64.501329380873571</v>
      </c>
      <c r="K95" s="45">
        <f t="shared" si="15"/>
        <v>61.918917952425119</v>
      </c>
      <c r="L95" s="46">
        <f t="shared" si="10"/>
        <v>838977024840230.63</v>
      </c>
      <c r="M95" s="47">
        <f>D95/1000*('System Assumptions'!$F$20*1000000)</f>
        <v>276691425000.00018</v>
      </c>
      <c r="N95" s="48"/>
      <c r="O95" s="49">
        <f>(F95/1000)*('System Assumptions'!$F$21*1000000)</f>
        <v>6427291623373.3125</v>
      </c>
      <c r="P95" s="49">
        <f t="shared" si="14"/>
        <v>-7755479675043.582</v>
      </c>
      <c r="Q95" s="48">
        <f t="shared" si="11"/>
        <v>837925528213560.38</v>
      </c>
      <c r="R95" s="53">
        <f t="shared" si="12"/>
        <v>61.841314476493878</v>
      </c>
      <c r="S95" s="52">
        <v>35</v>
      </c>
    </row>
    <row r="96" spans="1:19">
      <c r="A96" s="3">
        <f t="shared" si="16"/>
        <v>8</v>
      </c>
      <c r="B96" s="3">
        <f t="shared" si="17"/>
        <v>94</v>
      </c>
      <c r="C96" s="40">
        <f t="shared" si="9"/>
        <v>13549607334.625124</v>
      </c>
      <c r="D96" s="41">
        <f>'System Assumptions'!$E$11/12</f>
        <v>75242280</v>
      </c>
      <c r="E96" s="41">
        <f>-'System Assumptions'!$E$10/12</f>
        <v>-133627000</v>
      </c>
      <c r="F96" s="41">
        <f>IF(I95&lt;'System Assumptions'!$E$29,'Hydrological Data Model'!$E$33/12,'Hydrological Data Model'!$E$33/12)</f>
        <v>183636903.52495179</v>
      </c>
      <c r="G96" s="42">
        <f>IF(I95&lt;'System Assumptions'!$E$29,0,-(MIN('Hydrological Data Model'!$E$34,'Hydrological Data Model'!$E$33-'System Assumptions'!$E$12))/12)</f>
        <v>-125252183.52495177</v>
      </c>
      <c r="H96" s="42">
        <f t="shared" si="13"/>
        <v>13549607334.625124</v>
      </c>
      <c r="I96" s="106">
        <f>H96/'System Assumptions'!$F$15</f>
        <v>15.252270619126433</v>
      </c>
      <c r="J96" s="42">
        <f>'System Assumptions'!$E$30+'System Assumptions'!$E$28-'Data Model Calculations'!I96</f>
        <v>64.501329380873571</v>
      </c>
      <c r="K96" s="45">
        <f t="shared" si="15"/>
        <v>61.841314476493878</v>
      </c>
      <c r="L96" s="46">
        <f t="shared" si="10"/>
        <v>837925528213560.38</v>
      </c>
      <c r="M96" s="47">
        <f>D96/1000*('System Assumptions'!$F$20*1000000)</f>
        <v>276691425000.00018</v>
      </c>
      <c r="N96" s="48"/>
      <c r="O96" s="49">
        <f>(F96/1000)*('System Assumptions'!$F$21*1000000)</f>
        <v>6427291623373.3125</v>
      </c>
      <c r="P96" s="49">
        <f t="shared" si="14"/>
        <v>-7745759670234.0684</v>
      </c>
      <c r="Q96" s="48">
        <f t="shared" si="11"/>
        <v>836883751591699.63</v>
      </c>
      <c r="R96" s="53">
        <f t="shared" si="12"/>
        <v>61.764428364879521</v>
      </c>
      <c r="S96" s="52">
        <v>35</v>
      </c>
    </row>
    <row r="97" spans="1:19">
      <c r="A97" s="3">
        <f t="shared" si="16"/>
        <v>8</v>
      </c>
      <c r="B97" s="3">
        <f t="shared" si="17"/>
        <v>95</v>
      </c>
      <c r="C97" s="40">
        <f t="shared" si="9"/>
        <v>13549607334.625124</v>
      </c>
      <c r="D97" s="41">
        <f>'System Assumptions'!$E$11/12</f>
        <v>75242280</v>
      </c>
      <c r="E97" s="41">
        <f>-'System Assumptions'!$E$10/12</f>
        <v>-133627000</v>
      </c>
      <c r="F97" s="41">
        <f>IF(I96&lt;'System Assumptions'!$E$29,'Hydrological Data Model'!$E$33/12,'Hydrological Data Model'!$E$33/12)</f>
        <v>183636903.52495179</v>
      </c>
      <c r="G97" s="42">
        <f>IF(I96&lt;'System Assumptions'!$E$29,0,-(MIN('Hydrological Data Model'!$E$34,'Hydrological Data Model'!$E$33-'System Assumptions'!$E$12))/12)</f>
        <v>-125252183.52495177</v>
      </c>
      <c r="H97" s="42">
        <f t="shared" si="13"/>
        <v>13549607334.625124</v>
      </c>
      <c r="I97" s="106">
        <f>H97/'System Assumptions'!$F$15</f>
        <v>15.252270619126433</v>
      </c>
      <c r="J97" s="42">
        <f>'System Assumptions'!$E$30+'System Assumptions'!$E$28-'Data Model Calculations'!I97</f>
        <v>64.501329380873571</v>
      </c>
      <c r="K97" s="45">
        <f t="shared" si="15"/>
        <v>61.764428364879521</v>
      </c>
      <c r="L97" s="46">
        <f t="shared" si="10"/>
        <v>836883751591699.63</v>
      </c>
      <c r="M97" s="47">
        <f>D97/1000*('System Assumptions'!$F$20*1000000)</f>
        <v>276691425000.00018</v>
      </c>
      <c r="N97" s="48"/>
      <c r="O97" s="49">
        <f>(F97/1000)*('System Assumptions'!$F$21*1000000)</f>
        <v>6427291623373.3125</v>
      </c>
      <c r="P97" s="49">
        <f t="shared" si="14"/>
        <v>-7736129516871.626</v>
      </c>
      <c r="Q97" s="48">
        <f t="shared" si="11"/>
        <v>835851605123201.38</v>
      </c>
      <c r="R97" s="53">
        <f t="shared" si="12"/>
        <v>61.68825298628677</v>
      </c>
      <c r="S97" s="52">
        <v>35</v>
      </c>
    </row>
    <row r="98" spans="1:19">
      <c r="A98" s="3">
        <f t="shared" si="16"/>
        <v>8</v>
      </c>
      <c r="B98" s="3">
        <f t="shared" si="17"/>
        <v>96</v>
      </c>
      <c r="C98" s="40">
        <f t="shared" si="9"/>
        <v>13549607334.625124</v>
      </c>
      <c r="D98" s="41">
        <f>'System Assumptions'!$E$11/12</f>
        <v>75242280</v>
      </c>
      <c r="E98" s="41">
        <f>-'System Assumptions'!$E$10/12</f>
        <v>-133627000</v>
      </c>
      <c r="F98" s="41">
        <f>IF(I97&lt;'System Assumptions'!$E$29,'Hydrological Data Model'!$E$33/12,'Hydrological Data Model'!$E$33/12)</f>
        <v>183636903.52495179</v>
      </c>
      <c r="G98" s="42">
        <f>IF(I97&lt;'System Assumptions'!$E$29,0,-(MIN('Hydrological Data Model'!$E$34,'Hydrological Data Model'!$E$33-'System Assumptions'!$E$12))/12)</f>
        <v>-125252183.52495177</v>
      </c>
      <c r="H98" s="42">
        <f t="shared" si="13"/>
        <v>13549607334.625124</v>
      </c>
      <c r="I98" s="106">
        <f>H98/'System Assumptions'!$F$15</f>
        <v>15.252270619126433</v>
      </c>
      <c r="J98" s="42">
        <f>'System Assumptions'!$E$30+'System Assumptions'!$E$28-'Data Model Calculations'!I98</f>
        <v>64.501329380873571</v>
      </c>
      <c r="K98" s="45">
        <f t="shared" si="15"/>
        <v>61.68825298628677</v>
      </c>
      <c r="L98" s="46">
        <f t="shared" si="10"/>
        <v>835851605123201.38</v>
      </c>
      <c r="M98" s="47">
        <f>D98/1000*('System Assumptions'!$F$20*1000000)</f>
        <v>276691425000.00018</v>
      </c>
      <c r="N98" s="48"/>
      <c r="O98" s="49">
        <f>(F98/1000)*('System Assumptions'!$F$21*1000000)</f>
        <v>6427291623373.3125</v>
      </c>
      <c r="P98" s="49">
        <f t="shared" si="14"/>
        <v>-7726588384372.0439</v>
      </c>
      <c r="Q98" s="48">
        <f t="shared" si="11"/>
        <v>834828999787202.75</v>
      </c>
      <c r="R98" s="53">
        <f t="shared" si="12"/>
        <v>61.612781770719842</v>
      </c>
      <c r="S98" s="52">
        <v>35</v>
      </c>
    </row>
    <row r="99" spans="1:19">
      <c r="A99" s="3">
        <f t="shared" si="16"/>
        <v>9</v>
      </c>
      <c r="B99" s="3">
        <f t="shared" si="17"/>
        <v>97</v>
      </c>
      <c r="C99" s="40">
        <f t="shared" si="9"/>
        <v>13549607334.625124</v>
      </c>
      <c r="D99" s="41">
        <f>'System Assumptions'!$E$11/12</f>
        <v>75242280</v>
      </c>
      <c r="E99" s="41">
        <f>-'System Assumptions'!$E$10/12</f>
        <v>-133627000</v>
      </c>
      <c r="F99" s="41">
        <f>IF(I98&lt;'System Assumptions'!$E$29,'Hydrological Data Model'!$E$33/12,'Hydrological Data Model'!$E$33/12)</f>
        <v>183636903.52495179</v>
      </c>
      <c r="G99" s="42">
        <f>IF(I98&lt;'System Assumptions'!$E$29,0,-(MIN('Hydrological Data Model'!$E$34,'Hydrological Data Model'!$E$33-'System Assumptions'!$E$12))/12)</f>
        <v>-125252183.52495177</v>
      </c>
      <c r="H99" s="42">
        <f t="shared" si="13"/>
        <v>13549607334.625124</v>
      </c>
      <c r="I99" s="106">
        <f>H99/'System Assumptions'!$F$15</f>
        <v>15.252270619126433</v>
      </c>
      <c r="J99" s="42">
        <f>'System Assumptions'!$E$30+'System Assumptions'!$E$28-'Data Model Calculations'!I99</f>
        <v>64.501329380873571</v>
      </c>
      <c r="K99" s="45">
        <f t="shared" si="15"/>
        <v>61.612781770719842</v>
      </c>
      <c r="L99" s="46">
        <f t="shared" si="10"/>
        <v>834828999787202.75</v>
      </c>
      <c r="M99" s="47">
        <f>D99/1000*('System Assumptions'!$F$20*1000000)</f>
        <v>276691425000.00018</v>
      </c>
      <c r="N99" s="48"/>
      <c r="O99" s="49">
        <f>(F99/1000)*('System Assumptions'!$F$21*1000000)</f>
        <v>6427291623373.3125</v>
      </c>
      <c r="P99" s="49">
        <f t="shared" si="14"/>
        <v>-7717135449829.0039</v>
      </c>
      <c r="Q99" s="48">
        <f t="shared" si="11"/>
        <v>833815847385747</v>
      </c>
      <c r="R99" s="53">
        <f t="shared" si="12"/>
        <v>61.538008208915826</v>
      </c>
      <c r="S99" s="52">
        <v>35</v>
      </c>
    </row>
    <row r="100" spans="1:19">
      <c r="A100" s="3">
        <f t="shared" si="16"/>
        <v>9</v>
      </c>
      <c r="B100" s="3">
        <f t="shared" si="17"/>
        <v>98</v>
      </c>
      <c r="C100" s="40">
        <f t="shared" si="9"/>
        <v>13549607334.625124</v>
      </c>
      <c r="D100" s="41">
        <f>'System Assumptions'!$E$11/12</f>
        <v>75242280</v>
      </c>
      <c r="E100" s="41">
        <f>-'System Assumptions'!$E$10/12</f>
        <v>-133627000</v>
      </c>
      <c r="F100" s="41">
        <f>IF(I99&lt;'System Assumptions'!$E$29,'Hydrological Data Model'!$E$33/12,'Hydrological Data Model'!$E$33/12)</f>
        <v>183636903.52495179</v>
      </c>
      <c r="G100" s="42">
        <f>IF(I99&lt;'System Assumptions'!$E$29,0,-(MIN('Hydrological Data Model'!$E$34,'Hydrological Data Model'!$E$33-'System Assumptions'!$E$12))/12)</f>
        <v>-125252183.52495177</v>
      </c>
      <c r="H100" s="42">
        <f t="shared" si="13"/>
        <v>13549607334.625124</v>
      </c>
      <c r="I100" s="106">
        <f>H100/'System Assumptions'!$F$15</f>
        <v>15.252270619126433</v>
      </c>
      <c r="J100" s="42">
        <f>'System Assumptions'!$E$30+'System Assumptions'!$E$28-'Data Model Calculations'!I100</f>
        <v>64.501329380873571</v>
      </c>
      <c r="K100" s="45">
        <f t="shared" si="15"/>
        <v>61.538008208915826</v>
      </c>
      <c r="L100" s="46">
        <f t="shared" si="10"/>
        <v>833815847385747</v>
      </c>
      <c r="M100" s="47">
        <f>D100/1000*('System Assumptions'!$F$20*1000000)</f>
        <v>276691425000.00018</v>
      </c>
      <c r="N100" s="48"/>
      <c r="O100" s="49">
        <f>(F100/1000)*('System Assumptions'!$F$21*1000000)</f>
        <v>6427291623373.3125</v>
      </c>
      <c r="P100" s="49">
        <f t="shared" si="14"/>
        <v>-7707769897943.1133</v>
      </c>
      <c r="Q100" s="48">
        <f t="shared" si="11"/>
        <v>832812060536177.13</v>
      </c>
      <c r="R100" s="53">
        <f t="shared" si="12"/>
        <v>61.463925851783252</v>
      </c>
      <c r="S100" s="52">
        <v>35</v>
      </c>
    </row>
    <row r="101" spans="1:19">
      <c r="A101" s="3">
        <f t="shared" si="16"/>
        <v>9</v>
      </c>
      <c r="B101" s="3">
        <f t="shared" si="17"/>
        <v>99</v>
      </c>
      <c r="C101" s="40">
        <f t="shared" ref="C101:C164" si="18">H100</f>
        <v>13549607334.625124</v>
      </c>
      <c r="D101" s="41">
        <f>'System Assumptions'!$E$11/12</f>
        <v>75242280</v>
      </c>
      <c r="E101" s="41">
        <f>-'System Assumptions'!$E$10/12</f>
        <v>-133627000</v>
      </c>
      <c r="F101" s="41">
        <f>IF(I100&lt;'System Assumptions'!$E$29,'Hydrological Data Model'!$E$33/12,'Hydrological Data Model'!$E$33/12)</f>
        <v>183636903.52495179</v>
      </c>
      <c r="G101" s="42">
        <f>IF(I100&lt;'System Assumptions'!$E$29,0,-(MIN('Hydrological Data Model'!$E$34,'Hydrological Data Model'!$E$33-'System Assumptions'!$E$12))/12)</f>
        <v>-125252183.52495177</v>
      </c>
      <c r="H101" s="42">
        <f t="shared" si="13"/>
        <v>13549607334.625124</v>
      </c>
      <c r="I101" s="106">
        <f>H101/'System Assumptions'!$F$15</f>
        <v>15.252270619126433</v>
      </c>
      <c r="J101" s="42">
        <f>'System Assumptions'!$E$30+'System Assumptions'!$E$28-'Data Model Calculations'!I101</f>
        <v>64.501329380873571</v>
      </c>
      <c r="K101" s="45">
        <f t="shared" si="15"/>
        <v>61.463925851783252</v>
      </c>
      <c r="L101" s="46">
        <f t="shared" ref="L101:L164" si="19">Q100</f>
        <v>832812060536177.13</v>
      </c>
      <c r="M101" s="47">
        <f>D101/1000*('System Assumptions'!$F$20*1000000)</f>
        <v>276691425000.00018</v>
      </c>
      <c r="N101" s="48"/>
      <c r="O101" s="49">
        <f>(F101/1000)*('System Assumptions'!$F$21*1000000)</f>
        <v>6427291623373.3125</v>
      </c>
      <c r="P101" s="49">
        <f t="shared" si="14"/>
        <v>-7698490920951.583</v>
      </c>
      <c r="Q101" s="48">
        <f t="shared" ref="Q101:Q164" si="20">SUM(L101:P101)</f>
        <v>831817552663598.88</v>
      </c>
      <c r="R101" s="53">
        <f t="shared" ref="R101:R164" si="21">(Q101*1000)/(H101*1000000)</f>
        <v>61.390528309845863</v>
      </c>
      <c r="S101" s="52">
        <v>35</v>
      </c>
    </row>
    <row r="102" spans="1:19">
      <c r="A102" s="3">
        <f t="shared" si="16"/>
        <v>9</v>
      </c>
      <c r="B102" s="3">
        <f t="shared" si="17"/>
        <v>100</v>
      </c>
      <c r="C102" s="40">
        <f t="shared" si="18"/>
        <v>13549607334.625124</v>
      </c>
      <c r="D102" s="41">
        <f>'System Assumptions'!$E$11/12</f>
        <v>75242280</v>
      </c>
      <c r="E102" s="41">
        <f>-'System Assumptions'!$E$10/12</f>
        <v>-133627000</v>
      </c>
      <c r="F102" s="41">
        <f>IF(I101&lt;'System Assumptions'!$E$29,'Hydrological Data Model'!$E$33/12,'Hydrological Data Model'!$E$33/12)</f>
        <v>183636903.52495179</v>
      </c>
      <c r="G102" s="42">
        <f>IF(I101&lt;'System Assumptions'!$E$29,0,-(MIN('Hydrological Data Model'!$E$34,'Hydrological Data Model'!$E$33-'System Assumptions'!$E$12))/12)</f>
        <v>-125252183.52495177</v>
      </c>
      <c r="H102" s="42">
        <f t="shared" si="13"/>
        <v>13549607334.625124</v>
      </c>
      <c r="I102" s="106">
        <f>H102/'System Assumptions'!$F$15</f>
        <v>15.252270619126433</v>
      </c>
      <c r="J102" s="42">
        <f>'System Assumptions'!$E$30+'System Assumptions'!$E$28-'Data Model Calculations'!I102</f>
        <v>64.501329380873571</v>
      </c>
      <c r="K102" s="45">
        <f t="shared" si="15"/>
        <v>61.390528309845863</v>
      </c>
      <c r="L102" s="46">
        <f t="shared" si="19"/>
        <v>831817552663598.88</v>
      </c>
      <c r="M102" s="47">
        <f>D102/1000*('System Assumptions'!$F$20*1000000)</f>
        <v>276691425000.00018</v>
      </c>
      <c r="N102" s="48"/>
      <c r="O102" s="49">
        <f>(F102/1000)*('System Assumptions'!$F$21*1000000)</f>
        <v>6427291623373.3125</v>
      </c>
      <c r="P102" s="49">
        <f t="shared" si="14"/>
        <v>-7689297718558.5605</v>
      </c>
      <c r="Q102" s="48">
        <f t="shared" si="20"/>
        <v>830832237993413.75</v>
      </c>
      <c r="R102" s="53">
        <f t="shared" si="21"/>
        <v>61.317809252691553</v>
      </c>
      <c r="S102" s="52">
        <v>35</v>
      </c>
    </row>
    <row r="103" spans="1:19">
      <c r="A103" s="3">
        <f t="shared" si="16"/>
        <v>9</v>
      </c>
      <c r="B103" s="3">
        <f t="shared" si="17"/>
        <v>101</v>
      </c>
      <c r="C103" s="40">
        <f t="shared" si="18"/>
        <v>13549607334.625124</v>
      </c>
      <c r="D103" s="41">
        <f>'System Assumptions'!$E$11/12</f>
        <v>75242280</v>
      </c>
      <c r="E103" s="41">
        <f>-'System Assumptions'!$E$10/12</f>
        <v>-133627000</v>
      </c>
      <c r="F103" s="41">
        <f>IF(I102&lt;'System Assumptions'!$E$29,'Hydrological Data Model'!$E$33/12,'Hydrological Data Model'!$E$33/12)</f>
        <v>183636903.52495179</v>
      </c>
      <c r="G103" s="42">
        <f>IF(I102&lt;'System Assumptions'!$E$29,0,-(MIN('Hydrological Data Model'!$E$34,'Hydrological Data Model'!$E$33-'System Assumptions'!$E$12))/12)</f>
        <v>-125252183.52495177</v>
      </c>
      <c r="H103" s="42">
        <f t="shared" si="13"/>
        <v>13549607334.625124</v>
      </c>
      <c r="I103" s="106">
        <f>H103/'System Assumptions'!$F$15</f>
        <v>15.252270619126433</v>
      </c>
      <c r="J103" s="42">
        <f>'System Assumptions'!$E$30+'System Assumptions'!$E$28-'Data Model Calculations'!I103</f>
        <v>64.501329380873571</v>
      </c>
      <c r="K103" s="45">
        <f t="shared" si="15"/>
        <v>61.317809252691553</v>
      </c>
      <c r="L103" s="46">
        <f t="shared" si="19"/>
        <v>830832237993413.75</v>
      </c>
      <c r="M103" s="47">
        <f>D103/1000*('System Assumptions'!$F$20*1000000)</f>
        <v>276691425000.00018</v>
      </c>
      <c r="N103" s="48"/>
      <c r="O103" s="49">
        <f>(F103/1000)*('System Assumptions'!$F$21*1000000)</f>
        <v>6427291623373.3125</v>
      </c>
      <c r="P103" s="49">
        <f t="shared" si="14"/>
        <v>-7680189497866.1084</v>
      </c>
      <c r="Q103" s="48">
        <f t="shared" si="20"/>
        <v>829856031543920.88</v>
      </c>
      <c r="R103" s="53">
        <f t="shared" si="21"/>
        <v>61.245762408426316</v>
      </c>
      <c r="S103" s="52">
        <v>35</v>
      </c>
    </row>
    <row r="104" spans="1:19">
      <c r="A104" s="3">
        <f t="shared" si="16"/>
        <v>9</v>
      </c>
      <c r="B104" s="3">
        <f t="shared" si="17"/>
        <v>102</v>
      </c>
      <c r="C104" s="40">
        <f t="shared" si="18"/>
        <v>13549607334.625124</v>
      </c>
      <c r="D104" s="41">
        <f>'System Assumptions'!$E$11/12</f>
        <v>75242280</v>
      </c>
      <c r="E104" s="41">
        <f>-'System Assumptions'!$E$10/12</f>
        <v>-133627000</v>
      </c>
      <c r="F104" s="41">
        <f>IF(I103&lt;'System Assumptions'!$E$29,'Hydrological Data Model'!$E$33/12,'Hydrological Data Model'!$E$33/12)</f>
        <v>183636903.52495179</v>
      </c>
      <c r="G104" s="42">
        <f>IF(I103&lt;'System Assumptions'!$E$29,0,-(MIN('Hydrological Data Model'!$E$34,'Hydrological Data Model'!$E$33-'System Assumptions'!$E$12))/12)</f>
        <v>-125252183.52495177</v>
      </c>
      <c r="H104" s="42">
        <f t="shared" si="13"/>
        <v>13549607334.625124</v>
      </c>
      <c r="I104" s="106">
        <f>H104/'System Assumptions'!$F$15</f>
        <v>15.252270619126433</v>
      </c>
      <c r="J104" s="42">
        <f>'System Assumptions'!$E$30+'System Assumptions'!$E$28-'Data Model Calculations'!I104</f>
        <v>64.501329380873571</v>
      </c>
      <c r="K104" s="45">
        <f t="shared" si="15"/>
        <v>61.245762408426316</v>
      </c>
      <c r="L104" s="46">
        <f t="shared" si="19"/>
        <v>829856031543920.88</v>
      </c>
      <c r="M104" s="47">
        <f>D104/1000*('System Assumptions'!$F$20*1000000)</f>
        <v>276691425000.00018</v>
      </c>
      <c r="N104" s="48"/>
      <c r="O104" s="49">
        <f>(F104/1000)*('System Assumptions'!$F$21*1000000)</f>
        <v>6427291623373.3125</v>
      </c>
      <c r="P104" s="49">
        <f t="shared" si="14"/>
        <v>-7671165473305.8047</v>
      </c>
      <c r="Q104" s="48">
        <f t="shared" si="20"/>
        <v>828888849118988.5</v>
      </c>
      <c r="R104" s="53">
        <f t="shared" si="21"/>
        <v>61.174381563133423</v>
      </c>
      <c r="S104" s="52">
        <v>35</v>
      </c>
    </row>
    <row r="105" spans="1:19">
      <c r="A105" s="3">
        <f t="shared" si="16"/>
        <v>9</v>
      </c>
      <c r="B105" s="3">
        <f t="shared" si="17"/>
        <v>103</v>
      </c>
      <c r="C105" s="40">
        <f t="shared" si="18"/>
        <v>13549607334.625124</v>
      </c>
      <c r="D105" s="41">
        <f>'System Assumptions'!$E$11/12</f>
        <v>75242280</v>
      </c>
      <c r="E105" s="41">
        <f>-'System Assumptions'!$E$10/12</f>
        <v>-133627000</v>
      </c>
      <c r="F105" s="41">
        <f>IF(I104&lt;'System Assumptions'!$E$29,'Hydrological Data Model'!$E$33/12,'Hydrological Data Model'!$E$33/12)</f>
        <v>183636903.52495179</v>
      </c>
      <c r="G105" s="42">
        <f>IF(I104&lt;'System Assumptions'!$E$29,0,-(MIN('Hydrological Data Model'!$E$34,'Hydrological Data Model'!$E$33-'System Assumptions'!$E$12))/12)</f>
        <v>-125252183.52495177</v>
      </c>
      <c r="H105" s="42">
        <f t="shared" si="13"/>
        <v>13549607334.625124</v>
      </c>
      <c r="I105" s="106">
        <f>H105/'System Assumptions'!$F$15</f>
        <v>15.252270619126433</v>
      </c>
      <c r="J105" s="42">
        <f>'System Assumptions'!$E$30+'System Assumptions'!$E$28-'Data Model Calculations'!I105</f>
        <v>64.501329380873571</v>
      </c>
      <c r="K105" s="45">
        <f t="shared" si="15"/>
        <v>61.174381563133423</v>
      </c>
      <c r="L105" s="46">
        <f t="shared" si="19"/>
        <v>828888849118988.5</v>
      </c>
      <c r="M105" s="47">
        <f>D105/1000*('System Assumptions'!$F$20*1000000)</f>
        <v>276691425000.00018</v>
      </c>
      <c r="N105" s="48"/>
      <c r="O105" s="49">
        <f>(F105/1000)*('System Assumptions'!$F$21*1000000)</f>
        <v>6427291623373.3125</v>
      </c>
      <c r="P105" s="49">
        <f t="shared" si="14"/>
        <v>-7662224866571.0127</v>
      </c>
      <c r="Q105" s="48">
        <f t="shared" si="20"/>
        <v>827930607300790.75</v>
      </c>
      <c r="R105" s="53">
        <f t="shared" si="21"/>
        <v>61.103660560337346</v>
      </c>
      <c r="S105" s="52">
        <v>35</v>
      </c>
    </row>
    <row r="106" spans="1:19">
      <c r="A106" s="3">
        <f t="shared" si="16"/>
        <v>9</v>
      </c>
      <c r="B106" s="3">
        <f t="shared" si="17"/>
        <v>104</v>
      </c>
      <c r="C106" s="40">
        <f t="shared" si="18"/>
        <v>13549607334.625124</v>
      </c>
      <c r="D106" s="41">
        <f>'System Assumptions'!$E$11/12</f>
        <v>75242280</v>
      </c>
      <c r="E106" s="41">
        <f>-'System Assumptions'!$E$10/12</f>
        <v>-133627000</v>
      </c>
      <c r="F106" s="41">
        <f>IF(I105&lt;'System Assumptions'!$E$29,'Hydrological Data Model'!$E$33/12,'Hydrological Data Model'!$E$33/12)</f>
        <v>183636903.52495179</v>
      </c>
      <c r="G106" s="42">
        <f>IF(I105&lt;'System Assumptions'!$E$29,0,-(MIN('Hydrological Data Model'!$E$34,'Hydrological Data Model'!$E$33-'System Assumptions'!$E$12))/12)</f>
        <v>-125252183.52495177</v>
      </c>
      <c r="H106" s="42">
        <f t="shared" si="13"/>
        <v>13549607334.625124</v>
      </c>
      <c r="I106" s="106">
        <f>H106/'System Assumptions'!$F$15</f>
        <v>15.252270619126433</v>
      </c>
      <c r="J106" s="42">
        <f>'System Assumptions'!$E$30+'System Assumptions'!$E$28-'Data Model Calculations'!I106</f>
        <v>64.501329380873571</v>
      </c>
      <c r="K106" s="45">
        <f t="shared" si="15"/>
        <v>61.103660560337346</v>
      </c>
      <c r="L106" s="46">
        <f t="shared" si="19"/>
        <v>827930607300790.75</v>
      </c>
      <c r="M106" s="47">
        <f>D106/1000*('System Assumptions'!$F$20*1000000)</f>
        <v>276691425000.00018</v>
      </c>
      <c r="N106" s="48"/>
      <c r="O106" s="49">
        <f>(F106/1000)*('System Assumptions'!$F$21*1000000)</f>
        <v>6427291623373.3125</v>
      </c>
      <c r="P106" s="49">
        <f t="shared" si="14"/>
        <v>-7653366906549.7305</v>
      </c>
      <c r="Q106" s="48">
        <f t="shared" si="20"/>
        <v>826981223442614.25</v>
      </c>
      <c r="R106" s="53">
        <f t="shared" si="21"/>
        <v>61.033593300472887</v>
      </c>
      <c r="S106" s="52">
        <v>35</v>
      </c>
    </row>
    <row r="107" spans="1:19">
      <c r="A107" s="3">
        <f t="shared" si="16"/>
        <v>9</v>
      </c>
      <c r="B107" s="3">
        <f t="shared" si="17"/>
        <v>105</v>
      </c>
      <c r="C107" s="40">
        <f t="shared" si="18"/>
        <v>13549607334.625124</v>
      </c>
      <c r="D107" s="41">
        <f>'System Assumptions'!$E$11/12</f>
        <v>75242280</v>
      </c>
      <c r="E107" s="41">
        <f>-'System Assumptions'!$E$10/12</f>
        <v>-133627000</v>
      </c>
      <c r="F107" s="41">
        <f>IF(I106&lt;'System Assumptions'!$E$29,'Hydrological Data Model'!$E$33/12,'Hydrological Data Model'!$E$33/12)</f>
        <v>183636903.52495179</v>
      </c>
      <c r="G107" s="42">
        <f>IF(I106&lt;'System Assumptions'!$E$29,0,-(MIN('Hydrological Data Model'!$E$34,'Hydrological Data Model'!$E$33-'System Assumptions'!$E$12))/12)</f>
        <v>-125252183.52495177</v>
      </c>
      <c r="H107" s="42">
        <f t="shared" si="13"/>
        <v>13549607334.625124</v>
      </c>
      <c r="I107" s="106">
        <f>H107/'System Assumptions'!$F$15</f>
        <v>15.252270619126433</v>
      </c>
      <c r="J107" s="42">
        <f>'System Assumptions'!$E$30+'System Assumptions'!$E$28-'Data Model Calculations'!I107</f>
        <v>64.501329380873571</v>
      </c>
      <c r="K107" s="45">
        <f t="shared" si="15"/>
        <v>61.033593300472887</v>
      </c>
      <c r="L107" s="46">
        <f t="shared" si="19"/>
        <v>826981223442614.25</v>
      </c>
      <c r="M107" s="47">
        <f>D107/1000*('System Assumptions'!$F$20*1000000)</f>
        <v>276691425000.00018</v>
      </c>
      <c r="N107" s="48"/>
      <c r="O107" s="49">
        <f>(F107/1000)*('System Assumptions'!$F$21*1000000)</f>
        <v>6427291623373.3125</v>
      </c>
      <c r="P107" s="49">
        <f t="shared" si="14"/>
        <v>-7644590829258.0967</v>
      </c>
      <c r="Q107" s="48">
        <f t="shared" si="20"/>
        <v>826040615661729.38</v>
      </c>
      <c r="R107" s="53">
        <f t="shared" si="21"/>
        <v>60.964173740359051</v>
      </c>
      <c r="S107" s="52">
        <v>35</v>
      </c>
    </row>
    <row r="108" spans="1:19">
      <c r="A108" s="3">
        <f t="shared" si="16"/>
        <v>9</v>
      </c>
      <c r="B108" s="3">
        <f t="shared" si="17"/>
        <v>106</v>
      </c>
      <c r="C108" s="40">
        <f t="shared" si="18"/>
        <v>13549607334.625124</v>
      </c>
      <c r="D108" s="41">
        <f>'System Assumptions'!$E$11/12</f>
        <v>75242280</v>
      </c>
      <c r="E108" s="41">
        <f>-'System Assumptions'!$E$10/12</f>
        <v>-133627000</v>
      </c>
      <c r="F108" s="41">
        <f>IF(I107&lt;'System Assumptions'!$E$29,'Hydrological Data Model'!$E$33/12,'Hydrological Data Model'!$E$33/12)</f>
        <v>183636903.52495179</v>
      </c>
      <c r="G108" s="42">
        <f>IF(I107&lt;'System Assumptions'!$E$29,0,-(MIN('Hydrological Data Model'!$E$34,'Hydrological Data Model'!$E$33-'System Assumptions'!$E$12))/12)</f>
        <v>-125252183.52495177</v>
      </c>
      <c r="H108" s="42">
        <f t="shared" si="13"/>
        <v>13549607334.625124</v>
      </c>
      <c r="I108" s="106">
        <f>H108/'System Assumptions'!$F$15</f>
        <v>15.252270619126433</v>
      </c>
      <c r="J108" s="42">
        <f>'System Assumptions'!$E$30+'System Assumptions'!$E$28-'Data Model Calculations'!I108</f>
        <v>64.501329380873571</v>
      </c>
      <c r="K108" s="45">
        <f t="shared" si="15"/>
        <v>60.964173740359051</v>
      </c>
      <c r="L108" s="46">
        <f t="shared" si="19"/>
        <v>826040615661729.38</v>
      </c>
      <c r="M108" s="47">
        <f>D108/1000*('System Assumptions'!$F$20*1000000)</f>
        <v>276691425000.00018</v>
      </c>
      <c r="N108" s="48"/>
      <c r="O108" s="49">
        <f>(F108/1000)*('System Assumptions'!$F$21*1000000)</f>
        <v>6427291623373.3125</v>
      </c>
      <c r="P108" s="49">
        <f t="shared" si="14"/>
        <v>-7635895877774.4971</v>
      </c>
      <c r="Q108" s="48">
        <f t="shared" si="20"/>
        <v>825108702832328.25</v>
      </c>
      <c r="R108" s="53">
        <f t="shared" si="21"/>
        <v>60.895395892677833</v>
      </c>
      <c r="S108" s="52">
        <v>35</v>
      </c>
    </row>
    <row r="109" spans="1:19">
      <c r="A109" s="3">
        <f t="shared" si="16"/>
        <v>9</v>
      </c>
      <c r="B109" s="3">
        <f t="shared" si="17"/>
        <v>107</v>
      </c>
      <c r="C109" s="40">
        <f t="shared" si="18"/>
        <v>13549607334.625124</v>
      </c>
      <c r="D109" s="41">
        <f>'System Assumptions'!$E$11/12</f>
        <v>75242280</v>
      </c>
      <c r="E109" s="41">
        <f>-'System Assumptions'!$E$10/12</f>
        <v>-133627000</v>
      </c>
      <c r="F109" s="41">
        <f>IF(I108&lt;'System Assumptions'!$E$29,'Hydrological Data Model'!$E$33/12,'Hydrological Data Model'!$E$33/12)</f>
        <v>183636903.52495179</v>
      </c>
      <c r="G109" s="42">
        <f>IF(I108&lt;'System Assumptions'!$E$29,0,-(MIN('Hydrological Data Model'!$E$34,'Hydrological Data Model'!$E$33-'System Assumptions'!$E$12))/12)</f>
        <v>-125252183.52495177</v>
      </c>
      <c r="H109" s="42">
        <f t="shared" si="13"/>
        <v>13549607334.625124</v>
      </c>
      <c r="I109" s="106">
        <f>H109/'System Assumptions'!$F$15</f>
        <v>15.252270619126433</v>
      </c>
      <c r="J109" s="42">
        <f>'System Assumptions'!$E$30+'System Assumptions'!$E$28-'Data Model Calculations'!I109</f>
        <v>64.501329380873571</v>
      </c>
      <c r="K109" s="45">
        <f t="shared" si="15"/>
        <v>60.895395892677833</v>
      </c>
      <c r="L109" s="46">
        <f t="shared" si="19"/>
        <v>825108702832328.25</v>
      </c>
      <c r="M109" s="47">
        <f>D109/1000*('System Assumptions'!$F$20*1000000)</f>
        <v>276691425000.00018</v>
      </c>
      <c r="N109" s="48"/>
      <c r="O109" s="49">
        <f>(F109/1000)*('System Assumptions'!$F$21*1000000)</f>
        <v>6427291623373.3125</v>
      </c>
      <c r="P109" s="49">
        <f t="shared" si="14"/>
        <v>-7627281302174.2783</v>
      </c>
      <c r="Q109" s="48">
        <f t="shared" si="20"/>
        <v>824185404578527.25</v>
      </c>
      <c r="R109" s="53">
        <f t="shared" si="21"/>
        <v>60.827253825457809</v>
      </c>
      <c r="S109" s="52">
        <v>35</v>
      </c>
    </row>
    <row r="110" spans="1:19">
      <c r="A110" s="3">
        <f t="shared" si="16"/>
        <v>9</v>
      </c>
      <c r="B110" s="3">
        <f t="shared" si="17"/>
        <v>108</v>
      </c>
      <c r="C110" s="40">
        <f t="shared" si="18"/>
        <v>13549607334.625124</v>
      </c>
      <c r="D110" s="41">
        <f>'System Assumptions'!$E$11/12</f>
        <v>75242280</v>
      </c>
      <c r="E110" s="41">
        <f>-'System Assumptions'!$E$10/12</f>
        <v>-133627000</v>
      </c>
      <c r="F110" s="41">
        <f>IF(I109&lt;'System Assumptions'!$E$29,'Hydrological Data Model'!$E$33/12,'Hydrological Data Model'!$E$33/12)</f>
        <v>183636903.52495179</v>
      </c>
      <c r="G110" s="42">
        <f>IF(I109&lt;'System Assumptions'!$E$29,0,-(MIN('Hydrological Data Model'!$E$34,'Hydrological Data Model'!$E$33-'System Assumptions'!$E$12))/12)</f>
        <v>-125252183.52495177</v>
      </c>
      <c r="H110" s="42">
        <f t="shared" si="13"/>
        <v>13549607334.625124</v>
      </c>
      <c r="I110" s="106">
        <f>H110/'System Assumptions'!$F$15</f>
        <v>15.252270619126433</v>
      </c>
      <c r="J110" s="42">
        <f>'System Assumptions'!$E$30+'System Assumptions'!$E$28-'Data Model Calculations'!I110</f>
        <v>64.501329380873571</v>
      </c>
      <c r="K110" s="45">
        <f t="shared" si="15"/>
        <v>60.827253825457809</v>
      </c>
      <c r="L110" s="46">
        <f t="shared" si="19"/>
        <v>824185404578527.25</v>
      </c>
      <c r="M110" s="47">
        <f>D110/1000*('System Assumptions'!$F$20*1000000)</f>
        <v>276691425000.00018</v>
      </c>
      <c r="N110" s="48"/>
      <c r="O110" s="49">
        <f>(F110/1000)*('System Assumptions'!$F$21*1000000)</f>
        <v>6427291623373.3125</v>
      </c>
      <c r="P110" s="49">
        <f t="shared" si="14"/>
        <v>-7618746359465.0664</v>
      </c>
      <c r="Q110" s="48">
        <f t="shared" si="20"/>
        <v>823270641267435.38</v>
      </c>
      <c r="R110" s="53">
        <f t="shared" si="21"/>
        <v>60.759741661562529</v>
      </c>
      <c r="S110" s="52">
        <v>35</v>
      </c>
    </row>
    <row r="111" spans="1:19">
      <c r="A111" s="3">
        <f t="shared" si="16"/>
        <v>10</v>
      </c>
      <c r="B111" s="3">
        <f t="shared" si="17"/>
        <v>109</v>
      </c>
      <c r="C111" s="40">
        <f t="shared" si="18"/>
        <v>13549607334.625124</v>
      </c>
      <c r="D111" s="41">
        <f>'System Assumptions'!$E$11/12</f>
        <v>75242280</v>
      </c>
      <c r="E111" s="41">
        <f>-'System Assumptions'!$E$10/12</f>
        <v>-133627000</v>
      </c>
      <c r="F111" s="41">
        <f>IF(I110&lt;'System Assumptions'!$E$29,'Hydrological Data Model'!$E$33/12,'Hydrological Data Model'!$E$33/12)</f>
        <v>183636903.52495179</v>
      </c>
      <c r="G111" s="42">
        <f>IF(I110&lt;'System Assumptions'!$E$29,0,-(MIN('Hydrological Data Model'!$E$34,'Hydrological Data Model'!$E$33-'System Assumptions'!$E$12))/12)</f>
        <v>-125252183.52495177</v>
      </c>
      <c r="H111" s="42">
        <f t="shared" si="13"/>
        <v>13549607334.625124</v>
      </c>
      <c r="I111" s="106">
        <f>H111/'System Assumptions'!$F$15</f>
        <v>15.252270619126433</v>
      </c>
      <c r="J111" s="42">
        <f>'System Assumptions'!$E$30+'System Assumptions'!$E$28-'Data Model Calculations'!I111</f>
        <v>64.501329380873571</v>
      </c>
      <c r="K111" s="45">
        <f t="shared" si="15"/>
        <v>60.759741661562529</v>
      </c>
      <c r="L111" s="46">
        <f t="shared" si="19"/>
        <v>823270641267435.38</v>
      </c>
      <c r="M111" s="47">
        <f>D111/1000*('System Assumptions'!$F$20*1000000)</f>
        <v>276691425000.00018</v>
      </c>
      <c r="N111" s="48"/>
      <c r="O111" s="49">
        <f>(F111/1000)*('System Assumptions'!$F$21*1000000)</f>
        <v>6427291623373.3125</v>
      </c>
      <c r="P111" s="49">
        <f t="shared" si="14"/>
        <v>-7610290313522.6885</v>
      </c>
      <c r="Q111" s="48">
        <f t="shared" si="20"/>
        <v>822364334002286</v>
      </c>
      <c r="R111" s="53">
        <f t="shared" si="21"/>
        <v>60.692853578183652</v>
      </c>
      <c r="S111" s="52">
        <v>35</v>
      </c>
    </row>
    <row r="112" spans="1:19">
      <c r="A112" s="3">
        <f t="shared" si="16"/>
        <v>10</v>
      </c>
      <c r="B112" s="3">
        <f t="shared" si="17"/>
        <v>110</v>
      </c>
      <c r="C112" s="40">
        <f t="shared" si="18"/>
        <v>13549607334.625124</v>
      </c>
      <c r="D112" s="41">
        <f>'System Assumptions'!$E$11/12</f>
        <v>75242280</v>
      </c>
      <c r="E112" s="41">
        <f>-'System Assumptions'!$E$10/12</f>
        <v>-133627000</v>
      </c>
      <c r="F112" s="41">
        <f>IF(I111&lt;'System Assumptions'!$E$29,'Hydrological Data Model'!$E$33/12,'Hydrological Data Model'!$E$33/12)</f>
        <v>183636903.52495179</v>
      </c>
      <c r="G112" s="42">
        <f>IF(I111&lt;'System Assumptions'!$E$29,0,-(MIN('Hydrological Data Model'!$E$34,'Hydrological Data Model'!$E$33-'System Assumptions'!$E$12))/12)</f>
        <v>-125252183.52495177</v>
      </c>
      <c r="H112" s="42">
        <f t="shared" si="13"/>
        <v>13549607334.625124</v>
      </c>
      <c r="I112" s="106">
        <f>H112/'System Assumptions'!$F$15</f>
        <v>15.252270619126433</v>
      </c>
      <c r="J112" s="42">
        <f>'System Assumptions'!$E$30+'System Assumptions'!$E$28-'Data Model Calculations'!I112</f>
        <v>64.501329380873571</v>
      </c>
      <c r="K112" s="45">
        <f t="shared" si="15"/>
        <v>60.692853578183652</v>
      </c>
      <c r="L112" s="46">
        <f t="shared" si="19"/>
        <v>822364334002286</v>
      </c>
      <c r="M112" s="47">
        <f>D112/1000*('System Assumptions'!$F$20*1000000)</f>
        <v>276691425000.00018</v>
      </c>
      <c r="N112" s="48"/>
      <c r="O112" s="49">
        <f>(F112/1000)*('System Assumptions'!$F$21*1000000)</f>
        <v>6427291623373.3125</v>
      </c>
      <c r="P112" s="49">
        <f t="shared" si="14"/>
        <v>-7601912435027.6836</v>
      </c>
      <c r="Q112" s="48">
        <f t="shared" si="20"/>
        <v>821466404615631.63</v>
      </c>
      <c r="R112" s="53">
        <f t="shared" si="21"/>
        <v>60.626583806338701</v>
      </c>
      <c r="S112" s="52">
        <v>35</v>
      </c>
    </row>
    <row r="113" spans="1:19">
      <c r="A113" s="3">
        <f t="shared" si="16"/>
        <v>10</v>
      </c>
      <c r="B113" s="3">
        <f t="shared" si="17"/>
        <v>111</v>
      </c>
      <c r="C113" s="40">
        <f t="shared" si="18"/>
        <v>13549607334.625124</v>
      </c>
      <c r="D113" s="41">
        <f>'System Assumptions'!$E$11/12</f>
        <v>75242280</v>
      </c>
      <c r="E113" s="41">
        <f>-'System Assumptions'!$E$10/12</f>
        <v>-133627000</v>
      </c>
      <c r="F113" s="41">
        <f>IF(I112&lt;'System Assumptions'!$E$29,'Hydrological Data Model'!$E$33/12,'Hydrological Data Model'!$E$33/12)</f>
        <v>183636903.52495179</v>
      </c>
      <c r="G113" s="42">
        <f>IF(I112&lt;'System Assumptions'!$E$29,0,-(MIN('Hydrological Data Model'!$E$34,'Hydrological Data Model'!$E$33-'System Assumptions'!$E$12))/12)</f>
        <v>-125252183.52495177</v>
      </c>
      <c r="H113" s="42">
        <f t="shared" si="13"/>
        <v>13549607334.625124</v>
      </c>
      <c r="I113" s="106">
        <f>H113/'System Assumptions'!$F$15</f>
        <v>15.252270619126433</v>
      </c>
      <c r="J113" s="42">
        <f>'System Assumptions'!$E$30+'System Assumptions'!$E$28-'Data Model Calculations'!I113</f>
        <v>64.501329380873571</v>
      </c>
      <c r="K113" s="45">
        <f t="shared" si="15"/>
        <v>60.626583806338701</v>
      </c>
      <c r="L113" s="46">
        <f t="shared" si="19"/>
        <v>821466404615631.63</v>
      </c>
      <c r="M113" s="47">
        <f>D113/1000*('System Assumptions'!$F$20*1000000)</f>
        <v>276691425000.00018</v>
      </c>
      <c r="N113" s="48"/>
      <c r="O113" s="49">
        <f>(F113/1000)*('System Assumptions'!$F$21*1000000)</f>
        <v>6427291623373.3125</v>
      </c>
      <c r="P113" s="49">
        <f t="shared" si="14"/>
        <v>-7593612001402.4043</v>
      </c>
      <c r="Q113" s="48">
        <f t="shared" si="20"/>
        <v>820576775662602.63</v>
      </c>
      <c r="R113" s="53">
        <f t="shared" si="21"/>
        <v>60.560926630373487</v>
      </c>
      <c r="S113" s="52">
        <v>35</v>
      </c>
    </row>
    <row r="114" spans="1:19">
      <c r="A114" s="3">
        <f t="shared" si="16"/>
        <v>10</v>
      </c>
      <c r="B114" s="3">
        <f t="shared" si="17"/>
        <v>112</v>
      </c>
      <c r="C114" s="40">
        <f t="shared" si="18"/>
        <v>13549607334.625124</v>
      </c>
      <c r="D114" s="41">
        <f>'System Assumptions'!$E$11/12</f>
        <v>75242280</v>
      </c>
      <c r="E114" s="41">
        <f>-'System Assumptions'!$E$10/12</f>
        <v>-133627000</v>
      </c>
      <c r="F114" s="41">
        <f>IF(I113&lt;'System Assumptions'!$E$29,'Hydrological Data Model'!$E$33/12,'Hydrological Data Model'!$E$33/12)</f>
        <v>183636903.52495179</v>
      </c>
      <c r="G114" s="42">
        <f>IF(I113&lt;'System Assumptions'!$E$29,0,-(MIN('Hydrological Data Model'!$E$34,'Hydrological Data Model'!$E$33-'System Assumptions'!$E$12))/12)</f>
        <v>-125252183.52495177</v>
      </c>
      <c r="H114" s="42">
        <f t="shared" si="13"/>
        <v>13549607334.625124</v>
      </c>
      <c r="I114" s="106">
        <f>H114/'System Assumptions'!$F$15</f>
        <v>15.252270619126433</v>
      </c>
      <c r="J114" s="42">
        <f>'System Assumptions'!$E$30+'System Assumptions'!$E$28-'Data Model Calculations'!I114</f>
        <v>64.501329380873571</v>
      </c>
      <c r="K114" s="45">
        <f t="shared" si="15"/>
        <v>60.560926630373487</v>
      </c>
      <c r="L114" s="46">
        <f t="shared" si="19"/>
        <v>820576775662602.63</v>
      </c>
      <c r="M114" s="47">
        <f>D114/1000*('System Assumptions'!$F$20*1000000)</f>
        <v>276691425000.00018</v>
      </c>
      <c r="N114" s="48"/>
      <c r="O114" s="49">
        <f>(F114/1000)*('System Assumptions'!$F$21*1000000)</f>
        <v>6427291623373.3125</v>
      </c>
      <c r="P114" s="49">
        <f t="shared" si="14"/>
        <v>-7585388296748.6787</v>
      </c>
      <c r="Q114" s="48">
        <f t="shared" si="20"/>
        <v>819695370414227.38</v>
      </c>
      <c r="R114" s="53">
        <f t="shared" si="21"/>
        <v>60.495876387469188</v>
      </c>
      <c r="S114" s="52">
        <v>35</v>
      </c>
    </row>
    <row r="115" spans="1:19">
      <c r="A115" s="3">
        <f t="shared" si="16"/>
        <v>10</v>
      </c>
      <c r="B115" s="3">
        <f t="shared" si="17"/>
        <v>113</v>
      </c>
      <c r="C115" s="40">
        <f t="shared" si="18"/>
        <v>13549607334.625124</v>
      </c>
      <c r="D115" s="41">
        <f>'System Assumptions'!$E$11/12</f>
        <v>75242280</v>
      </c>
      <c r="E115" s="41">
        <f>-'System Assumptions'!$E$10/12</f>
        <v>-133627000</v>
      </c>
      <c r="F115" s="41">
        <f>IF(I114&lt;'System Assumptions'!$E$29,'Hydrological Data Model'!$E$33/12,'Hydrological Data Model'!$E$33/12)</f>
        <v>183636903.52495179</v>
      </c>
      <c r="G115" s="42">
        <f>IF(I114&lt;'System Assumptions'!$E$29,0,-(MIN('Hydrological Data Model'!$E$34,'Hydrological Data Model'!$E$33-'System Assumptions'!$E$12))/12)</f>
        <v>-125252183.52495177</v>
      </c>
      <c r="H115" s="42">
        <f t="shared" si="13"/>
        <v>13549607334.625124</v>
      </c>
      <c r="I115" s="106">
        <f>H115/'System Assumptions'!$F$15</f>
        <v>15.252270619126433</v>
      </c>
      <c r="J115" s="42">
        <f>'System Assumptions'!$E$30+'System Assumptions'!$E$28-'Data Model Calculations'!I115</f>
        <v>64.501329380873571</v>
      </c>
      <c r="K115" s="45">
        <f t="shared" si="15"/>
        <v>60.495876387469188</v>
      </c>
      <c r="L115" s="46">
        <f t="shared" si="19"/>
        <v>819695370414227.38</v>
      </c>
      <c r="M115" s="47">
        <f>D115/1000*('System Assumptions'!$F$20*1000000)</f>
        <v>276691425000.00018</v>
      </c>
      <c r="N115" s="48"/>
      <c r="O115" s="49">
        <f>(F115/1000)*('System Assumptions'!$F$21*1000000)</f>
        <v>6427291623373.3125</v>
      </c>
      <c r="P115" s="49">
        <f t="shared" si="14"/>
        <v>-7577240611786.0869</v>
      </c>
      <c r="Q115" s="48">
        <f t="shared" si="20"/>
        <v>818822112850814.63</v>
      </c>
      <c r="R115" s="53">
        <f t="shared" si="21"/>
        <v>60.431427467153895</v>
      </c>
      <c r="S115" s="52">
        <v>35</v>
      </c>
    </row>
    <row r="116" spans="1:19">
      <c r="A116" s="3">
        <f t="shared" si="16"/>
        <v>10</v>
      </c>
      <c r="B116" s="3">
        <f t="shared" si="17"/>
        <v>114</v>
      </c>
      <c r="C116" s="40">
        <f t="shared" si="18"/>
        <v>13549607334.625124</v>
      </c>
      <c r="D116" s="41">
        <f>'System Assumptions'!$E$11/12</f>
        <v>75242280</v>
      </c>
      <c r="E116" s="41">
        <f>-'System Assumptions'!$E$10/12</f>
        <v>-133627000</v>
      </c>
      <c r="F116" s="41">
        <f>IF(I115&lt;'System Assumptions'!$E$29,'Hydrological Data Model'!$E$33/12,'Hydrological Data Model'!$E$33/12)</f>
        <v>183636903.52495179</v>
      </c>
      <c r="G116" s="42">
        <f>IF(I115&lt;'System Assumptions'!$E$29,0,-(MIN('Hydrological Data Model'!$E$34,'Hydrological Data Model'!$E$33-'System Assumptions'!$E$12))/12)</f>
        <v>-125252183.52495177</v>
      </c>
      <c r="H116" s="42">
        <f t="shared" si="13"/>
        <v>13549607334.625124</v>
      </c>
      <c r="I116" s="106">
        <f>H116/'System Assumptions'!$F$15</f>
        <v>15.252270619126433</v>
      </c>
      <c r="J116" s="42">
        <f>'System Assumptions'!$E$30+'System Assumptions'!$E$28-'Data Model Calculations'!I116</f>
        <v>64.501329380873571</v>
      </c>
      <c r="K116" s="45">
        <f t="shared" si="15"/>
        <v>60.431427467153895</v>
      </c>
      <c r="L116" s="46">
        <f t="shared" si="19"/>
        <v>818822112850814.63</v>
      </c>
      <c r="M116" s="47">
        <f>D116/1000*('System Assumptions'!$F$20*1000000)</f>
        <v>276691425000.00018</v>
      </c>
      <c r="N116" s="48"/>
      <c r="O116" s="49">
        <f>(F116/1000)*('System Assumptions'!$F$21*1000000)</f>
        <v>6427291623373.3125</v>
      </c>
      <c r="P116" s="49">
        <f t="shared" si="14"/>
        <v>-7569168243790.7715</v>
      </c>
      <c r="Q116" s="48">
        <f t="shared" si="20"/>
        <v>817956927655397.25</v>
      </c>
      <c r="R116" s="53">
        <f t="shared" si="21"/>
        <v>60.367574310818775</v>
      </c>
      <c r="S116" s="52">
        <v>35</v>
      </c>
    </row>
    <row r="117" spans="1:19">
      <c r="A117" s="3">
        <f t="shared" si="16"/>
        <v>10</v>
      </c>
      <c r="B117" s="3">
        <f t="shared" si="17"/>
        <v>115</v>
      </c>
      <c r="C117" s="40">
        <f t="shared" si="18"/>
        <v>13549607334.625124</v>
      </c>
      <c r="D117" s="41">
        <f>'System Assumptions'!$E$11/12</f>
        <v>75242280</v>
      </c>
      <c r="E117" s="41">
        <f>-'System Assumptions'!$E$10/12</f>
        <v>-133627000</v>
      </c>
      <c r="F117" s="41">
        <f>IF(I116&lt;'System Assumptions'!$E$29,'Hydrological Data Model'!$E$33/12,'Hydrological Data Model'!$E$33/12)</f>
        <v>183636903.52495179</v>
      </c>
      <c r="G117" s="42">
        <f>IF(I116&lt;'System Assumptions'!$E$29,0,-(MIN('Hydrological Data Model'!$E$34,'Hydrological Data Model'!$E$33-'System Assumptions'!$E$12))/12)</f>
        <v>-125252183.52495177</v>
      </c>
      <c r="H117" s="42">
        <f t="shared" si="13"/>
        <v>13549607334.625124</v>
      </c>
      <c r="I117" s="106">
        <f>H117/'System Assumptions'!$F$15</f>
        <v>15.252270619126433</v>
      </c>
      <c r="J117" s="42">
        <f>'System Assumptions'!$E$30+'System Assumptions'!$E$28-'Data Model Calculations'!I117</f>
        <v>64.501329380873571</v>
      </c>
      <c r="K117" s="45">
        <f t="shared" si="15"/>
        <v>60.367574310818775</v>
      </c>
      <c r="L117" s="46">
        <f t="shared" si="19"/>
        <v>817956927655397.25</v>
      </c>
      <c r="M117" s="47">
        <f>D117/1000*('System Assumptions'!$F$20*1000000)</f>
        <v>276691425000.00018</v>
      </c>
      <c r="N117" s="48"/>
      <c r="O117" s="49">
        <f>(F117/1000)*('System Assumptions'!$F$21*1000000)</f>
        <v>6427291623373.3125</v>
      </c>
      <c r="P117" s="49">
        <f t="shared" si="14"/>
        <v>-7561170496534.8369</v>
      </c>
      <c r="Q117" s="48">
        <f t="shared" si="20"/>
        <v>817099740207235.63</v>
      </c>
      <c r="R117" s="53">
        <f t="shared" si="21"/>
        <v>60.304311411238565</v>
      </c>
      <c r="S117" s="52">
        <v>35</v>
      </c>
    </row>
    <row r="118" spans="1:19">
      <c r="A118" s="3">
        <f t="shared" si="16"/>
        <v>10</v>
      </c>
      <c r="B118" s="3">
        <f t="shared" si="17"/>
        <v>116</v>
      </c>
      <c r="C118" s="40">
        <f t="shared" si="18"/>
        <v>13549607334.625124</v>
      </c>
      <c r="D118" s="41">
        <f>'System Assumptions'!$E$11/12</f>
        <v>75242280</v>
      </c>
      <c r="E118" s="41">
        <f>-'System Assumptions'!$E$10/12</f>
        <v>-133627000</v>
      </c>
      <c r="F118" s="41">
        <f>IF(I117&lt;'System Assumptions'!$E$29,'Hydrological Data Model'!$E$33/12,'Hydrological Data Model'!$E$33/12)</f>
        <v>183636903.52495179</v>
      </c>
      <c r="G118" s="42">
        <f>IF(I117&lt;'System Assumptions'!$E$29,0,-(MIN('Hydrological Data Model'!$E$34,'Hydrological Data Model'!$E$33-'System Assumptions'!$E$12))/12)</f>
        <v>-125252183.52495177</v>
      </c>
      <c r="H118" s="42">
        <f t="shared" si="13"/>
        <v>13549607334.625124</v>
      </c>
      <c r="I118" s="106">
        <f>H118/'System Assumptions'!$F$15</f>
        <v>15.252270619126433</v>
      </c>
      <c r="J118" s="42">
        <f>'System Assumptions'!$E$30+'System Assumptions'!$E$28-'Data Model Calculations'!I118</f>
        <v>64.501329380873571</v>
      </c>
      <c r="K118" s="45">
        <f t="shared" si="15"/>
        <v>60.304311411238565</v>
      </c>
      <c r="L118" s="46">
        <f t="shared" si="19"/>
        <v>817099740207235.63</v>
      </c>
      <c r="M118" s="47">
        <f>D118/1000*('System Assumptions'!$F$20*1000000)</f>
        <v>276691425000.00018</v>
      </c>
      <c r="N118" s="48"/>
      <c r="O118" s="49">
        <f>(F118/1000)*('System Assumptions'!$F$21*1000000)</f>
        <v>6427291623373.3125</v>
      </c>
      <c r="P118" s="49">
        <f t="shared" si="14"/>
        <v>-7553246680226.2959</v>
      </c>
      <c r="Q118" s="48">
        <f t="shared" si="20"/>
        <v>816250476575382.75</v>
      </c>
      <c r="R118" s="53">
        <f t="shared" si="21"/>
        <v>60.24163331209671</v>
      </c>
      <c r="S118" s="52">
        <v>35</v>
      </c>
    </row>
    <row r="119" spans="1:19">
      <c r="A119" s="3">
        <f t="shared" si="16"/>
        <v>10</v>
      </c>
      <c r="B119" s="3">
        <f t="shared" si="17"/>
        <v>117</v>
      </c>
      <c r="C119" s="40">
        <f t="shared" si="18"/>
        <v>13549607334.625124</v>
      </c>
      <c r="D119" s="41">
        <f>'System Assumptions'!$E$11/12</f>
        <v>75242280</v>
      </c>
      <c r="E119" s="41">
        <f>-'System Assumptions'!$E$10/12</f>
        <v>-133627000</v>
      </c>
      <c r="F119" s="41">
        <f>IF(I118&lt;'System Assumptions'!$E$29,'Hydrological Data Model'!$E$33/12,'Hydrological Data Model'!$E$33/12)</f>
        <v>183636903.52495179</v>
      </c>
      <c r="G119" s="42">
        <f>IF(I118&lt;'System Assumptions'!$E$29,0,-(MIN('Hydrological Data Model'!$E$34,'Hydrological Data Model'!$E$33-'System Assumptions'!$E$12))/12)</f>
        <v>-125252183.52495177</v>
      </c>
      <c r="H119" s="42">
        <f t="shared" si="13"/>
        <v>13549607334.625124</v>
      </c>
      <c r="I119" s="106">
        <f>H119/'System Assumptions'!$F$15</f>
        <v>15.252270619126433</v>
      </c>
      <c r="J119" s="42">
        <f>'System Assumptions'!$E$30+'System Assumptions'!$E$28-'Data Model Calculations'!I119</f>
        <v>64.501329380873571</v>
      </c>
      <c r="K119" s="45">
        <f t="shared" si="15"/>
        <v>60.24163331209671</v>
      </c>
      <c r="L119" s="46">
        <f t="shared" si="19"/>
        <v>816250476575382.75</v>
      </c>
      <c r="M119" s="47">
        <f>D119/1000*('System Assumptions'!$F$20*1000000)</f>
        <v>276691425000.00018</v>
      </c>
      <c r="N119" s="48"/>
      <c r="O119" s="49">
        <f>(F119/1000)*('System Assumptions'!$F$21*1000000)</f>
        <v>6427291623373.3125</v>
      </c>
      <c r="P119" s="49">
        <f t="shared" si="14"/>
        <v>-7545396111449.585</v>
      </c>
      <c r="Q119" s="48">
        <f t="shared" si="20"/>
        <v>815409063512306.38</v>
      </c>
      <c r="R119" s="53">
        <f t="shared" si="21"/>
        <v>60.179534607514611</v>
      </c>
      <c r="S119" s="52">
        <v>35</v>
      </c>
    </row>
    <row r="120" spans="1:19">
      <c r="A120" s="3">
        <f t="shared" si="16"/>
        <v>10</v>
      </c>
      <c r="B120" s="3">
        <f t="shared" si="17"/>
        <v>118</v>
      </c>
      <c r="C120" s="40">
        <f t="shared" si="18"/>
        <v>13549607334.625124</v>
      </c>
      <c r="D120" s="41">
        <f>'System Assumptions'!$E$11/12</f>
        <v>75242280</v>
      </c>
      <c r="E120" s="41">
        <f>-'System Assumptions'!$E$10/12</f>
        <v>-133627000</v>
      </c>
      <c r="F120" s="41">
        <f>IF(I119&lt;'System Assumptions'!$E$29,'Hydrological Data Model'!$E$33/12,'Hydrological Data Model'!$E$33/12)</f>
        <v>183636903.52495179</v>
      </c>
      <c r="G120" s="42">
        <f>IF(I119&lt;'System Assumptions'!$E$29,0,-(MIN('Hydrological Data Model'!$E$34,'Hydrological Data Model'!$E$33-'System Assumptions'!$E$12))/12)</f>
        <v>-125252183.52495177</v>
      </c>
      <c r="H120" s="42">
        <f t="shared" si="13"/>
        <v>13549607334.625124</v>
      </c>
      <c r="I120" s="106">
        <f>H120/'System Assumptions'!$F$15</f>
        <v>15.252270619126433</v>
      </c>
      <c r="J120" s="42">
        <f>'System Assumptions'!$E$30+'System Assumptions'!$E$28-'Data Model Calculations'!I120</f>
        <v>64.501329380873571</v>
      </c>
      <c r="K120" s="45">
        <f t="shared" si="15"/>
        <v>60.179534607514611</v>
      </c>
      <c r="L120" s="46">
        <f t="shared" si="19"/>
        <v>815409063512306.38</v>
      </c>
      <c r="M120" s="47">
        <f>D120/1000*('System Assumptions'!$F$20*1000000)</f>
        <v>276691425000.00018</v>
      </c>
      <c r="N120" s="48"/>
      <c r="O120" s="49">
        <f>(F120/1000)*('System Assumptions'!$F$21*1000000)</f>
        <v>6427291623373.3125</v>
      </c>
      <c r="P120" s="49">
        <f t="shared" si="14"/>
        <v>-7537618113106.6064</v>
      </c>
      <c r="Q120" s="48">
        <f t="shared" si="20"/>
        <v>814575428447573.13</v>
      </c>
      <c r="R120" s="53">
        <f t="shared" si="21"/>
        <v>60.118009941585505</v>
      </c>
      <c r="S120" s="52">
        <v>35</v>
      </c>
    </row>
    <row r="121" spans="1:19">
      <c r="A121" s="3">
        <f t="shared" si="16"/>
        <v>10</v>
      </c>
      <c r="B121" s="3">
        <f t="shared" si="17"/>
        <v>119</v>
      </c>
      <c r="C121" s="40">
        <f t="shared" si="18"/>
        <v>13549607334.625124</v>
      </c>
      <c r="D121" s="41">
        <f>'System Assumptions'!$E$11/12</f>
        <v>75242280</v>
      </c>
      <c r="E121" s="41">
        <f>-'System Assumptions'!$E$10/12</f>
        <v>-133627000</v>
      </c>
      <c r="F121" s="41">
        <f>IF(I120&lt;'System Assumptions'!$E$29,'Hydrological Data Model'!$E$33/12,'Hydrological Data Model'!$E$33/12)</f>
        <v>183636903.52495179</v>
      </c>
      <c r="G121" s="42">
        <f>IF(I120&lt;'System Assumptions'!$E$29,0,-(MIN('Hydrological Data Model'!$E$34,'Hydrological Data Model'!$E$33-'System Assumptions'!$E$12))/12)</f>
        <v>-125252183.52495177</v>
      </c>
      <c r="H121" s="42">
        <f t="shared" si="13"/>
        <v>13549607334.625124</v>
      </c>
      <c r="I121" s="106">
        <f>H121/'System Assumptions'!$F$15</f>
        <v>15.252270619126433</v>
      </c>
      <c r="J121" s="42">
        <f>'System Assumptions'!$E$30+'System Assumptions'!$E$28-'Data Model Calculations'!I121</f>
        <v>64.501329380873571</v>
      </c>
      <c r="K121" s="45">
        <f t="shared" si="15"/>
        <v>60.118009941585505</v>
      </c>
      <c r="L121" s="46">
        <f t="shared" si="19"/>
        <v>814575428447573.13</v>
      </c>
      <c r="M121" s="47">
        <f>D121/1000*('System Assumptions'!$F$20*1000000)</f>
        <v>276691425000.00018</v>
      </c>
      <c r="N121" s="48"/>
      <c r="O121" s="49">
        <f>(F121/1000)*('System Assumptions'!$F$21*1000000)</f>
        <v>6427291623373.3125</v>
      </c>
      <c r="P121" s="49">
        <f t="shared" si="14"/>
        <v>-7529912014358.3418</v>
      </c>
      <c r="Q121" s="48">
        <f t="shared" si="20"/>
        <v>813749499481588.13</v>
      </c>
      <c r="R121" s="53">
        <f t="shared" si="21"/>
        <v>60.057054007912477</v>
      </c>
      <c r="S121" s="52">
        <v>35</v>
      </c>
    </row>
    <row r="122" spans="1:19">
      <c r="A122" s="3">
        <f t="shared" si="16"/>
        <v>10</v>
      </c>
      <c r="B122" s="3">
        <f t="shared" si="17"/>
        <v>120</v>
      </c>
      <c r="C122" s="40">
        <f t="shared" si="18"/>
        <v>13549607334.625124</v>
      </c>
      <c r="D122" s="41">
        <f>'System Assumptions'!$E$11/12</f>
        <v>75242280</v>
      </c>
      <c r="E122" s="41">
        <f>-'System Assumptions'!$E$10/12</f>
        <v>-133627000</v>
      </c>
      <c r="F122" s="41">
        <f>IF(I121&lt;'System Assumptions'!$E$29,'Hydrological Data Model'!$E$33/12,'Hydrological Data Model'!$E$33/12)</f>
        <v>183636903.52495179</v>
      </c>
      <c r="G122" s="42">
        <f>IF(I121&lt;'System Assumptions'!$E$29,0,-(MIN('Hydrological Data Model'!$E$34,'Hydrological Data Model'!$E$33-'System Assumptions'!$E$12))/12)</f>
        <v>-125252183.52495177</v>
      </c>
      <c r="H122" s="42">
        <f t="shared" si="13"/>
        <v>13549607334.625124</v>
      </c>
      <c r="I122" s="106">
        <f>H122/'System Assumptions'!$F$15</f>
        <v>15.252270619126433</v>
      </c>
      <c r="J122" s="42">
        <f>'System Assumptions'!$E$30+'System Assumptions'!$E$28-'Data Model Calculations'!I122</f>
        <v>64.501329380873571</v>
      </c>
      <c r="K122" s="45">
        <f t="shared" si="15"/>
        <v>60.057054007912477</v>
      </c>
      <c r="L122" s="46">
        <f t="shared" si="19"/>
        <v>813749499481588.13</v>
      </c>
      <c r="M122" s="47">
        <f>D122/1000*('System Assumptions'!$F$20*1000000)</f>
        <v>276691425000.00018</v>
      </c>
      <c r="N122" s="48"/>
      <c r="O122" s="49">
        <f>(F122/1000)*('System Assumptions'!$F$21*1000000)</f>
        <v>6427291623373.3125</v>
      </c>
      <c r="P122" s="49">
        <f t="shared" si="14"/>
        <v>-7522277150566.9941</v>
      </c>
      <c r="Q122" s="48">
        <f t="shared" si="20"/>
        <v>812931205379394.5</v>
      </c>
      <c r="R122" s="53">
        <f t="shared" si="21"/>
        <v>59.99666154915078</v>
      </c>
      <c r="S122" s="52">
        <v>35</v>
      </c>
    </row>
    <row r="123" spans="1:19">
      <c r="A123" s="3">
        <f t="shared" si="16"/>
        <v>11</v>
      </c>
      <c r="B123" s="3">
        <f t="shared" si="17"/>
        <v>121</v>
      </c>
      <c r="C123" s="40">
        <f t="shared" si="18"/>
        <v>13549607334.625124</v>
      </c>
      <c r="D123" s="41">
        <f>'System Assumptions'!$E$11/12</f>
        <v>75242280</v>
      </c>
      <c r="E123" s="41">
        <f>-'System Assumptions'!$E$10/12</f>
        <v>-133627000</v>
      </c>
      <c r="F123" s="41">
        <f>IF(I122&lt;'System Assumptions'!$E$29,'Hydrological Data Model'!$E$33/12,'Hydrological Data Model'!$E$33/12)</f>
        <v>183636903.52495179</v>
      </c>
      <c r="G123" s="42">
        <f>IF(I122&lt;'System Assumptions'!$E$29,0,-(MIN('Hydrological Data Model'!$E$34,'Hydrological Data Model'!$E$33-'System Assumptions'!$E$12))/12)</f>
        <v>-125252183.52495177</v>
      </c>
      <c r="H123" s="42">
        <f t="shared" si="13"/>
        <v>13549607334.625124</v>
      </c>
      <c r="I123" s="106">
        <f>H123/'System Assumptions'!$F$15</f>
        <v>15.252270619126433</v>
      </c>
      <c r="J123" s="42">
        <f>'System Assumptions'!$E$30+'System Assumptions'!$E$28-'Data Model Calculations'!I123</f>
        <v>64.501329380873571</v>
      </c>
      <c r="K123" s="45">
        <f t="shared" si="15"/>
        <v>59.99666154915078</v>
      </c>
      <c r="L123" s="46">
        <f t="shared" si="19"/>
        <v>812931205379394.5</v>
      </c>
      <c r="M123" s="47">
        <f>D123/1000*('System Assumptions'!$F$20*1000000)</f>
        <v>276691425000.00018</v>
      </c>
      <c r="N123" s="48"/>
      <c r="O123" s="49">
        <f>(F123/1000)*('System Assumptions'!$F$21*1000000)</f>
        <v>6427291623373.3125</v>
      </c>
      <c r="P123" s="49">
        <f t="shared" si="14"/>
        <v>-7514712863238.6504</v>
      </c>
      <c r="Q123" s="48">
        <f t="shared" si="20"/>
        <v>812120475564529.13</v>
      </c>
      <c r="R123" s="53">
        <f t="shared" si="21"/>
        <v>59.936827356554389</v>
      </c>
      <c r="S123" s="52">
        <v>35</v>
      </c>
    </row>
    <row r="124" spans="1:19">
      <c r="A124" s="3">
        <f t="shared" si="16"/>
        <v>11</v>
      </c>
      <c r="B124" s="3">
        <f t="shared" si="17"/>
        <v>122</v>
      </c>
      <c r="C124" s="40">
        <f t="shared" si="18"/>
        <v>13549607334.625124</v>
      </c>
      <c r="D124" s="41">
        <f>'System Assumptions'!$E$11/12</f>
        <v>75242280</v>
      </c>
      <c r="E124" s="41">
        <f>-'System Assumptions'!$E$10/12</f>
        <v>-133627000</v>
      </c>
      <c r="F124" s="41">
        <f>IF(I123&lt;'System Assumptions'!$E$29,'Hydrological Data Model'!$E$33/12,'Hydrological Data Model'!$E$33/12)</f>
        <v>183636903.52495179</v>
      </c>
      <c r="G124" s="42">
        <f>IF(I123&lt;'System Assumptions'!$E$29,0,-(MIN('Hydrological Data Model'!$E$34,'Hydrological Data Model'!$E$33-'System Assumptions'!$E$12))/12)</f>
        <v>-125252183.52495177</v>
      </c>
      <c r="H124" s="42">
        <f t="shared" si="13"/>
        <v>13549607334.625124</v>
      </c>
      <c r="I124" s="106">
        <f>H124/'System Assumptions'!$F$15</f>
        <v>15.252270619126433</v>
      </c>
      <c r="J124" s="42">
        <f>'System Assumptions'!$E$30+'System Assumptions'!$E$28-'Data Model Calculations'!I124</f>
        <v>64.501329380873571</v>
      </c>
      <c r="K124" s="45">
        <f t="shared" si="15"/>
        <v>59.936827356554389</v>
      </c>
      <c r="L124" s="46">
        <f t="shared" si="19"/>
        <v>812120475564529.13</v>
      </c>
      <c r="M124" s="47">
        <f>D124/1000*('System Assumptions'!$F$20*1000000)</f>
        <v>276691425000.00018</v>
      </c>
      <c r="N124" s="48"/>
      <c r="O124" s="49">
        <f>(F124/1000)*('System Assumptions'!$F$21*1000000)</f>
        <v>6427291623373.3125</v>
      </c>
      <c r="P124" s="49">
        <f t="shared" si="14"/>
        <v>-7507218499966.5</v>
      </c>
      <c r="Q124" s="48">
        <f t="shared" si="20"/>
        <v>811317240112936</v>
      </c>
      <c r="R124" s="53">
        <f t="shared" si="21"/>
        <v>59.877546269526825</v>
      </c>
      <c r="S124" s="52">
        <v>35</v>
      </c>
    </row>
    <row r="125" spans="1:19">
      <c r="A125" s="3">
        <f t="shared" si="16"/>
        <v>11</v>
      </c>
      <c r="B125" s="3">
        <f t="shared" si="17"/>
        <v>123</v>
      </c>
      <c r="C125" s="40">
        <f t="shared" si="18"/>
        <v>13549607334.625124</v>
      </c>
      <c r="D125" s="41">
        <f>'System Assumptions'!$E$11/12</f>
        <v>75242280</v>
      </c>
      <c r="E125" s="41">
        <f>-'System Assumptions'!$E$10/12</f>
        <v>-133627000</v>
      </c>
      <c r="F125" s="41">
        <f>IF(I124&lt;'System Assumptions'!$E$29,'Hydrological Data Model'!$E$33/12,'Hydrological Data Model'!$E$33/12)</f>
        <v>183636903.52495179</v>
      </c>
      <c r="G125" s="42">
        <f>IF(I124&lt;'System Assumptions'!$E$29,0,-(MIN('Hydrological Data Model'!$E$34,'Hydrological Data Model'!$E$33-'System Assumptions'!$E$12))/12)</f>
        <v>-125252183.52495177</v>
      </c>
      <c r="H125" s="42">
        <f t="shared" si="13"/>
        <v>13549607334.625124</v>
      </c>
      <c r="I125" s="106">
        <f>H125/'System Assumptions'!$F$15</f>
        <v>15.252270619126433</v>
      </c>
      <c r="J125" s="42">
        <f>'System Assumptions'!$E$30+'System Assumptions'!$E$28-'Data Model Calculations'!I125</f>
        <v>64.501329380873571</v>
      </c>
      <c r="K125" s="45">
        <f t="shared" si="15"/>
        <v>59.877546269526825</v>
      </c>
      <c r="L125" s="46">
        <f t="shared" si="19"/>
        <v>811317240112936</v>
      </c>
      <c r="M125" s="47">
        <f>D125/1000*('System Assumptions'!$F$20*1000000)</f>
        <v>276691425000.00018</v>
      </c>
      <c r="N125" s="48"/>
      <c r="O125" s="49">
        <f>(F125/1000)*('System Assumptions'!$F$21*1000000)</f>
        <v>6427291623373.3125</v>
      </c>
      <c r="P125" s="49">
        <f t="shared" si="14"/>
        <v>-7499793414374.5654</v>
      </c>
      <c r="Q125" s="48">
        <f t="shared" si="20"/>
        <v>810521429746934.63</v>
      </c>
      <c r="R125" s="53">
        <f t="shared" si="21"/>
        <v>59.818813175175997</v>
      </c>
      <c r="S125" s="52">
        <v>35</v>
      </c>
    </row>
    <row r="126" spans="1:19">
      <c r="A126" s="3">
        <f t="shared" si="16"/>
        <v>11</v>
      </c>
      <c r="B126" s="3">
        <f t="shared" si="17"/>
        <v>124</v>
      </c>
      <c r="C126" s="40">
        <f t="shared" si="18"/>
        <v>13549607334.625124</v>
      </c>
      <c r="D126" s="41">
        <f>'System Assumptions'!$E$11/12</f>
        <v>75242280</v>
      </c>
      <c r="E126" s="41">
        <f>-'System Assumptions'!$E$10/12</f>
        <v>-133627000</v>
      </c>
      <c r="F126" s="41">
        <f>IF(I125&lt;'System Assumptions'!$E$29,'Hydrological Data Model'!$E$33/12,'Hydrological Data Model'!$E$33/12)</f>
        <v>183636903.52495179</v>
      </c>
      <c r="G126" s="42">
        <f>IF(I125&lt;'System Assumptions'!$E$29,0,-(MIN('Hydrological Data Model'!$E$34,'Hydrological Data Model'!$E$33-'System Assumptions'!$E$12))/12)</f>
        <v>-125252183.52495177</v>
      </c>
      <c r="H126" s="42">
        <f t="shared" si="13"/>
        <v>13549607334.625124</v>
      </c>
      <c r="I126" s="106">
        <f>H126/'System Assumptions'!$F$15</f>
        <v>15.252270619126433</v>
      </c>
      <c r="J126" s="42">
        <f>'System Assumptions'!$E$30+'System Assumptions'!$E$28-'Data Model Calculations'!I126</f>
        <v>64.501329380873571</v>
      </c>
      <c r="K126" s="45">
        <f t="shared" si="15"/>
        <v>59.818813175175997</v>
      </c>
      <c r="L126" s="46">
        <f t="shared" si="19"/>
        <v>810521429746934.63</v>
      </c>
      <c r="M126" s="47">
        <f>D126/1000*('System Assumptions'!$F$20*1000000)</f>
        <v>276691425000.00018</v>
      </c>
      <c r="N126" s="48"/>
      <c r="O126" s="49">
        <f>(F126/1000)*('System Assumptions'!$F$21*1000000)</f>
        <v>6427291623373.3125</v>
      </c>
      <c r="P126" s="49">
        <f t="shared" si="14"/>
        <v>-7492436966061.9473</v>
      </c>
      <c r="Q126" s="48">
        <f t="shared" si="20"/>
        <v>809732975829246</v>
      </c>
      <c r="R126" s="53">
        <f t="shared" si="21"/>
        <v>59.760623007873221</v>
      </c>
      <c r="S126" s="52">
        <v>35</v>
      </c>
    </row>
    <row r="127" spans="1:19">
      <c r="A127" s="3">
        <f t="shared" si="16"/>
        <v>11</v>
      </c>
      <c r="B127" s="3">
        <f t="shared" si="17"/>
        <v>125</v>
      </c>
      <c r="C127" s="40">
        <f t="shared" si="18"/>
        <v>13549607334.625124</v>
      </c>
      <c r="D127" s="41">
        <f>'System Assumptions'!$E$11/12</f>
        <v>75242280</v>
      </c>
      <c r="E127" s="41">
        <f>-'System Assumptions'!$E$10/12</f>
        <v>-133627000</v>
      </c>
      <c r="F127" s="41">
        <f>IF(I126&lt;'System Assumptions'!$E$29,'Hydrological Data Model'!$E$33/12,'Hydrological Data Model'!$E$33/12)</f>
        <v>183636903.52495179</v>
      </c>
      <c r="G127" s="42">
        <f>IF(I126&lt;'System Assumptions'!$E$29,0,-(MIN('Hydrological Data Model'!$E$34,'Hydrological Data Model'!$E$33-'System Assumptions'!$E$12))/12)</f>
        <v>-125252183.52495177</v>
      </c>
      <c r="H127" s="42">
        <f t="shared" si="13"/>
        <v>13549607334.625124</v>
      </c>
      <c r="I127" s="106">
        <f>H127/'System Assumptions'!$F$15</f>
        <v>15.252270619126433</v>
      </c>
      <c r="J127" s="42">
        <f>'System Assumptions'!$E$30+'System Assumptions'!$E$28-'Data Model Calculations'!I127</f>
        <v>64.501329380873571</v>
      </c>
      <c r="K127" s="45">
        <f t="shared" si="15"/>
        <v>59.760623007873221</v>
      </c>
      <c r="L127" s="46">
        <f t="shared" si="19"/>
        <v>809732975829246</v>
      </c>
      <c r="M127" s="47">
        <f>D127/1000*('System Assumptions'!$F$20*1000000)</f>
        <v>276691425000.00018</v>
      </c>
      <c r="N127" s="48"/>
      <c r="O127" s="49">
        <f>(F127/1000)*('System Assumptions'!$F$21*1000000)</f>
        <v>6427291623373.3125</v>
      </c>
      <c r="P127" s="49">
        <f t="shared" si="14"/>
        <v>-7485148520547.5918</v>
      </c>
      <c r="Q127" s="48">
        <f t="shared" si="20"/>
        <v>808951810357071.63</v>
      </c>
      <c r="R127" s="53">
        <f t="shared" si="21"/>
        <v>59.702970748816377</v>
      </c>
      <c r="S127" s="52">
        <v>35</v>
      </c>
    </row>
    <row r="128" spans="1:19">
      <c r="A128" s="3">
        <f t="shared" si="16"/>
        <v>11</v>
      </c>
      <c r="B128" s="3">
        <f t="shared" si="17"/>
        <v>126</v>
      </c>
      <c r="C128" s="40">
        <f t="shared" si="18"/>
        <v>13549607334.625124</v>
      </c>
      <c r="D128" s="41">
        <f>'System Assumptions'!$E$11/12</f>
        <v>75242280</v>
      </c>
      <c r="E128" s="41">
        <f>-'System Assumptions'!$E$10/12</f>
        <v>-133627000</v>
      </c>
      <c r="F128" s="41">
        <f>IF(I127&lt;'System Assumptions'!$E$29,'Hydrological Data Model'!$E$33/12,'Hydrological Data Model'!$E$33/12)</f>
        <v>183636903.52495179</v>
      </c>
      <c r="G128" s="42">
        <f>IF(I127&lt;'System Assumptions'!$E$29,0,-(MIN('Hydrological Data Model'!$E$34,'Hydrological Data Model'!$E$33-'System Assumptions'!$E$12))/12)</f>
        <v>-125252183.52495177</v>
      </c>
      <c r="H128" s="42">
        <f t="shared" si="13"/>
        <v>13549607334.625124</v>
      </c>
      <c r="I128" s="106">
        <f>H128/'System Assumptions'!$F$15</f>
        <v>15.252270619126433</v>
      </c>
      <c r="J128" s="42">
        <f>'System Assumptions'!$E$30+'System Assumptions'!$E$28-'Data Model Calculations'!I128</f>
        <v>64.501329380873571</v>
      </c>
      <c r="K128" s="45">
        <f t="shared" si="15"/>
        <v>59.702970748816377</v>
      </c>
      <c r="L128" s="46">
        <f t="shared" si="19"/>
        <v>808951810357071.63</v>
      </c>
      <c r="M128" s="47">
        <f>D128/1000*('System Assumptions'!$F$20*1000000)</f>
        <v>276691425000.00018</v>
      </c>
      <c r="N128" s="48"/>
      <c r="O128" s="49">
        <f>(F128/1000)*('System Assumptions'!$F$21*1000000)</f>
        <v>6427291623373.3125</v>
      </c>
      <c r="P128" s="49">
        <f t="shared" si="14"/>
        <v>-7477927449215.5762</v>
      </c>
      <c r="Q128" s="48">
        <f t="shared" si="20"/>
        <v>808177865956229.38</v>
      </c>
      <c r="R128" s="53">
        <f t="shared" si="21"/>
        <v>59.645851425596987</v>
      </c>
      <c r="S128" s="52">
        <v>35</v>
      </c>
    </row>
    <row r="129" spans="1:19">
      <c r="A129" s="3">
        <f t="shared" si="16"/>
        <v>11</v>
      </c>
      <c r="B129" s="3">
        <f t="shared" si="17"/>
        <v>127</v>
      </c>
      <c r="C129" s="40">
        <f t="shared" si="18"/>
        <v>13549607334.625124</v>
      </c>
      <c r="D129" s="41">
        <f>'System Assumptions'!$E$11/12</f>
        <v>75242280</v>
      </c>
      <c r="E129" s="41">
        <f>-'System Assumptions'!$E$10/12</f>
        <v>-133627000</v>
      </c>
      <c r="F129" s="41">
        <f>IF(I128&lt;'System Assumptions'!$E$29,'Hydrological Data Model'!$E$33/12,'Hydrological Data Model'!$E$33/12)</f>
        <v>183636903.52495179</v>
      </c>
      <c r="G129" s="42">
        <f>IF(I128&lt;'System Assumptions'!$E$29,0,-(MIN('Hydrological Data Model'!$E$34,'Hydrological Data Model'!$E$33-'System Assumptions'!$E$12))/12)</f>
        <v>-125252183.52495177</v>
      </c>
      <c r="H129" s="42">
        <f t="shared" si="13"/>
        <v>13549607334.625124</v>
      </c>
      <c r="I129" s="106">
        <f>H129/'System Assumptions'!$F$15</f>
        <v>15.252270619126433</v>
      </c>
      <c r="J129" s="42">
        <f>'System Assumptions'!$E$30+'System Assumptions'!$E$28-'Data Model Calculations'!I129</f>
        <v>64.501329380873571</v>
      </c>
      <c r="K129" s="45">
        <f t="shared" si="15"/>
        <v>59.645851425596987</v>
      </c>
      <c r="L129" s="46">
        <f t="shared" si="19"/>
        <v>808177865956229.38</v>
      </c>
      <c r="M129" s="47">
        <f>D129/1000*('System Assumptions'!$F$20*1000000)</f>
        <v>276691425000.00018</v>
      </c>
      <c r="N129" s="48"/>
      <c r="O129" s="49">
        <f>(F129/1000)*('System Assumptions'!$F$21*1000000)</f>
        <v>6427291623373.3125</v>
      </c>
      <c r="P129" s="49">
        <f t="shared" si="14"/>
        <v>-7470773129260.8799</v>
      </c>
      <c r="Q129" s="48">
        <f t="shared" si="20"/>
        <v>807411075875341.88</v>
      </c>
      <c r="R129" s="53">
        <f t="shared" si="21"/>
        <v>59.589260111771381</v>
      </c>
      <c r="S129" s="52">
        <v>35</v>
      </c>
    </row>
    <row r="130" spans="1:19">
      <c r="A130" s="3">
        <f t="shared" si="16"/>
        <v>11</v>
      </c>
      <c r="B130" s="3">
        <f t="shared" si="17"/>
        <v>128</v>
      </c>
      <c r="C130" s="40">
        <f t="shared" si="18"/>
        <v>13549607334.625124</v>
      </c>
      <c r="D130" s="41">
        <f>'System Assumptions'!$E$11/12</f>
        <v>75242280</v>
      </c>
      <c r="E130" s="41">
        <f>-'System Assumptions'!$E$10/12</f>
        <v>-133627000</v>
      </c>
      <c r="F130" s="41">
        <f>IF(I129&lt;'System Assumptions'!$E$29,'Hydrological Data Model'!$E$33/12,'Hydrological Data Model'!$E$33/12)</f>
        <v>183636903.52495179</v>
      </c>
      <c r="G130" s="42">
        <f>IF(I129&lt;'System Assumptions'!$E$29,0,-(MIN('Hydrological Data Model'!$E$34,'Hydrological Data Model'!$E$33-'System Assumptions'!$E$12))/12)</f>
        <v>-125252183.52495177</v>
      </c>
      <c r="H130" s="42">
        <f t="shared" si="13"/>
        <v>13549607334.625124</v>
      </c>
      <c r="I130" s="106">
        <f>H130/'System Assumptions'!$F$15</f>
        <v>15.252270619126433</v>
      </c>
      <c r="J130" s="42">
        <f>'System Assumptions'!$E$30+'System Assumptions'!$E$28-'Data Model Calculations'!I130</f>
        <v>64.501329380873571</v>
      </c>
      <c r="K130" s="45">
        <f t="shared" si="15"/>
        <v>59.589260111771381</v>
      </c>
      <c r="L130" s="46">
        <f t="shared" si="19"/>
        <v>807411075875341.88</v>
      </c>
      <c r="M130" s="47">
        <f>D130/1000*('System Assumptions'!$F$20*1000000)</f>
        <v>276691425000.00018</v>
      </c>
      <c r="N130" s="48"/>
      <c r="O130" s="49">
        <f>(F130/1000)*('System Assumptions'!$F$21*1000000)</f>
        <v>6427291623373.3125</v>
      </c>
      <c r="P130" s="49">
        <f t="shared" si="14"/>
        <v>-7463684943635.6768</v>
      </c>
      <c r="Q130" s="48">
        <f t="shared" si="20"/>
        <v>806651373980079.63</v>
      </c>
      <c r="R130" s="53">
        <f t="shared" si="21"/>
        <v>59.533191926435791</v>
      </c>
      <c r="S130" s="52">
        <v>35</v>
      </c>
    </row>
    <row r="131" spans="1:19">
      <c r="A131" s="3">
        <f t="shared" si="16"/>
        <v>11</v>
      </c>
      <c r="B131" s="3">
        <f t="shared" si="17"/>
        <v>129</v>
      </c>
      <c r="C131" s="40">
        <f t="shared" si="18"/>
        <v>13549607334.625124</v>
      </c>
      <c r="D131" s="41">
        <f>'System Assumptions'!$E$11/12</f>
        <v>75242280</v>
      </c>
      <c r="E131" s="41">
        <f>-'System Assumptions'!$E$10/12</f>
        <v>-133627000</v>
      </c>
      <c r="F131" s="41">
        <f>IF(I130&lt;'System Assumptions'!$E$29,'Hydrological Data Model'!$E$33/12,'Hydrological Data Model'!$E$33/12)</f>
        <v>183636903.52495179</v>
      </c>
      <c r="G131" s="42">
        <f>IF(I130&lt;'System Assumptions'!$E$29,0,-(MIN('Hydrological Data Model'!$E$34,'Hydrological Data Model'!$E$33-'System Assumptions'!$E$12))/12)</f>
        <v>-125252183.52495177</v>
      </c>
      <c r="H131" s="42">
        <f t="shared" ref="H131:H194" si="22">SUM(C131:G131)</f>
        <v>13549607334.625124</v>
      </c>
      <c r="I131" s="106">
        <f>H131/'System Assumptions'!$F$15</f>
        <v>15.252270619126433</v>
      </c>
      <c r="J131" s="42">
        <f>'System Assumptions'!$E$30+'System Assumptions'!$E$28-'Data Model Calculations'!I131</f>
        <v>64.501329380873571</v>
      </c>
      <c r="K131" s="45">
        <f t="shared" si="15"/>
        <v>59.533191926435791</v>
      </c>
      <c r="L131" s="46">
        <f t="shared" si="19"/>
        <v>806651373980079.63</v>
      </c>
      <c r="M131" s="47">
        <f>D131/1000*('System Assumptions'!$F$20*1000000)</f>
        <v>276691425000.00018</v>
      </c>
      <c r="N131" s="48"/>
      <c r="O131" s="49">
        <f>(F131/1000)*('System Assumptions'!$F$21*1000000)</f>
        <v>6427291623373.3125</v>
      </c>
      <c r="P131" s="49">
        <f t="shared" ref="P131:P194" si="23">(G131*1000000)*K131/1000</f>
        <v>-7456662280996.1123</v>
      </c>
      <c r="Q131" s="48">
        <f t="shared" si="20"/>
        <v>805898694747456.88</v>
      </c>
      <c r="R131" s="53">
        <f t="shared" si="21"/>
        <v>59.477642033805374</v>
      </c>
      <c r="S131" s="52">
        <v>35</v>
      </c>
    </row>
    <row r="132" spans="1:19">
      <c r="A132" s="3">
        <f t="shared" si="16"/>
        <v>11</v>
      </c>
      <c r="B132" s="3">
        <f t="shared" si="17"/>
        <v>130</v>
      </c>
      <c r="C132" s="40">
        <f t="shared" si="18"/>
        <v>13549607334.625124</v>
      </c>
      <c r="D132" s="41">
        <f>'System Assumptions'!$E$11/12</f>
        <v>75242280</v>
      </c>
      <c r="E132" s="41">
        <f>-'System Assumptions'!$E$10/12</f>
        <v>-133627000</v>
      </c>
      <c r="F132" s="41">
        <f>IF(I131&lt;'System Assumptions'!$E$29,'Hydrological Data Model'!$E$33/12,'Hydrological Data Model'!$E$33/12)</f>
        <v>183636903.52495179</v>
      </c>
      <c r="G132" s="42">
        <f>IF(I131&lt;'System Assumptions'!$E$29,0,-(MIN('Hydrological Data Model'!$E$34,'Hydrological Data Model'!$E$33-'System Assumptions'!$E$12))/12)</f>
        <v>-125252183.52495177</v>
      </c>
      <c r="H132" s="42">
        <f t="shared" si="22"/>
        <v>13549607334.625124</v>
      </c>
      <c r="I132" s="106">
        <f>H132/'System Assumptions'!$F$15</f>
        <v>15.252270619126433</v>
      </c>
      <c r="J132" s="42">
        <f>'System Assumptions'!$E$30+'System Assumptions'!$E$28-'Data Model Calculations'!I132</f>
        <v>64.501329380873571</v>
      </c>
      <c r="K132" s="45">
        <f t="shared" ref="K132:K195" si="24">R131</f>
        <v>59.477642033805374</v>
      </c>
      <c r="L132" s="46">
        <f t="shared" si="19"/>
        <v>805898694747456.88</v>
      </c>
      <c r="M132" s="47">
        <f>D132/1000*('System Assumptions'!$F$20*1000000)</f>
        <v>276691425000.00018</v>
      </c>
      <c r="N132" s="48"/>
      <c r="O132" s="49">
        <f>(F132/1000)*('System Assumptions'!$F$21*1000000)</f>
        <v>6427291623373.3125</v>
      </c>
      <c r="P132" s="49">
        <f t="shared" si="23"/>
        <v>-7449704535649.5762</v>
      </c>
      <c r="Q132" s="48">
        <f t="shared" si="20"/>
        <v>805152973260180.63</v>
      </c>
      <c r="R132" s="53">
        <f t="shared" si="21"/>
        <v>59.422605642797151</v>
      </c>
      <c r="S132" s="52">
        <v>35</v>
      </c>
    </row>
    <row r="133" spans="1:19">
      <c r="A133" s="3">
        <f t="shared" ref="A133:A196" si="25">IF(MOD(B133,12)=1,A132+1,A132)</f>
        <v>11</v>
      </c>
      <c r="B133" s="3">
        <f t="shared" si="17"/>
        <v>131</v>
      </c>
      <c r="C133" s="40">
        <f t="shared" si="18"/>
        <v>13549607334.625124</v>
      </c>
      <c r="D133" s="41">
        <f>'System Assumptions'!$E$11/12</f>
        <v>75242280</v>
      </c>
      <c r="E133" s="41">
        <f>-'System Assumptions'!$E$10/12</f>
        <v>-133627000</v>
      </c>
      <c r="F133" s="41">
        <f>IF(I132&lt;'System Assumptions'!$E$29,'Hydrological Data Model'!$E$33/12,'Hydrological Data Model'!$E$33/12)</f>
        <v>183636903.52495179</v>
      </c>
      <c r="G133" s="42">
        <f>IF(I132&lt;'System Assumptions'!$E$29,0,-(MIN('Hydrological Data Model'!$E$34,'Hydrological Data Model'!$E$33-'System Assumptions'!$E$12))/12)</f>
        <v>-125252183.52495177</v>
      </c>
      <c r="H133" s="42">
        <f t="shared" si="22"/>
        <v>13549607334.625124</v>
      </c>
      <c r="I133" s="106">
        <f>H133/'System Assumptions'!$F$15</f>
        <v>15.252270619126433</v>
      </c>
      <c r="J133" s="42">
        <f>'System Assumptions'!$E$30+'System Assumptions'!$E$28-'Data Model Calculations'!I133</f>
        <v>64.501329380873571</v>
      </c>
      <c r="K133" s="45">
        <f t="shared" si="24"/>
        <v>59.422605642797151</v>
      </c>
      <c r="L133" s="46">
        <f t="shared" si="19"/>
        <v>805152973260180.63</v>
      </c>
      <c r="M133" s="47">
        <f>D133/1000*('System Assumptions'!$F$20*1000000)</f>
        <v>276691425000.00018</v>
      </c>
      <c r="N133" s="48"/>
      <c r="O133" s="49">
        <f>(F133/1000)*('System Assumptions'!$F$21*1000000)</f>
        <v>6427291623373.3125</v>
      </c>
      <c r="P133" s="49">
        <f t="shared" si="23"/>
        <v>-7442811107502.4629</v>
      </c>
      <c r="Q133" s="48">
        <f t="shared" si="20"/>
        <v>804414145201051.5</v>
      </c>
      <c r="R133" s="53">
        <f t="shared" si="21"/>
        <v>59.368078006616798</v>
      </c>
      <c r="S133" s="52">
        <v>35</v>
      </c>
    </row>
    <row r="134" spans="1:19">
      <c r="A134" s="3">
        <f t="shared" si="25"/>
        <v>11</v>
      </c>
      <c r="B134" s="3">
        <f t="shared" si="17"/>
        <v>132</v>
      </c>
      <c r="C134" s="40">
        <f t="shared" si="18"/>
        <v>13549607334.625124</v>
      </c>
      <c r="D134" s="41">
        <f>'System Assumptions'!$E$11/12</f>
        <v>75242280</v>
      </c>
      <c r="E134" s="41">
        <f>-'System Assumptions'!$E$10/12</f>
        <v>-133627000</v>
      </c>
      <c r="F134" s="41">
        <f>IF(I133&lt;'System Assumptions'!$E$29,'Hydrological Data Model'!$E$33/12,'Hydrological Data Model'!$E$33/12)</f>
        <v>183636903.52495179</v>
      </c>
      <c r="G134" s="42">
        <f>IF(I133&lt;'System Assumptions'!$E$29,0,-(MIN('Hydrological Data Model'!$E$34,'Hydrological Data Model'!$E$33-'System Assumptions'!$E$12))/12)</f>
        <v>-125252183.52495177</v>
      </c>
      <c r="H134" s="42">
        <f t="shared" si="22"/>
        <v>13549607334.625124</v>
      </c>
      <c r="I134" s="106">
        <f>H134/'System Assumptions'!$F$15</f>
        <v>15.252270619126433</v>
      </c>
      <c r="J134" s="42">
        <f>'System Assumptions'!$E$30+'System Assumptions'!$E$28-'Data Model Calculations'!I134</f>
        <v>64.501329380873571</v>
      </c>
      <c r="K134" s="45">
        <f t="shared" si="24"/>
        <v>59.368078006616798</v>
      </c>
      <c r="L134" s="46">
        <f t="shared" si="19"/>
        <v>804414145201051.5</v>
      </c>
      <c r="M134" s="47">
        <f>D134/1000*('System Assumptions'!$F$20*1000000)</f>
        <v>276691425000.00018</v>
      </c>
      <c r="N134" s="48"/>
      <c r="O134" s="49">
        <f>(F134/1000)*('System Assumptions'!$F$21*1000000)</f>
        <v>6427291623373.3125</v>
      </c>
      <c r="P134" s="49">
        <f t="shared" si="23"/>
        <v>-7435981402008.4199</v>
      </c>
      <c r="Q134" s="48">
        <f t="shared" si="20"/>
        <v>803682146847416.38</v>
      </c>
      <c r="R134" s="53">
        <f t="shared" si="21"/>
        <v>59.314054422349187</v>
      </c>
      <c r="S134" s="52">
        <v>35</v>
      </c>
    </row>
    <row r="135" spans="1:19">
      <c r="A135" s="3">
        <f t="shared" si="25"/>
        <v>12</v>
      </c>
      <c r="B135" s="3">
        <f t="shared" si="17"/>
        <v>133</v>
      </c>
      <c r="C135" s="40">
        <f t="shared" si="18"/>
        <v>13549607334.625124</v>
      </c>
      <c r="D135" s="41">
        <f>'System Assumptions'!$E$11/12</f>
        <v>75242280</v>
      </c>
      <c r="E135" s="41">
        <f>-'System Assumptions'!$E$10/12</f>
        <v>-133627000</v>
      </c>
      <c r="F135" s="41">
        <f>IF(I134&lt;'System Assumptions'!$E$29,'Hydrological Data Model'!$E$33/12,'Hydrological Data Model'!$E$33/12)</f>
        <v>183636903.52495179</v>
      </c>
      <c r="G135" s="42">
        <f>IF(I134&lt;'System Assumptions'!$E$29,0,-(MIN('Hydrological Data Model'!$E$34,'Hydrological Data Model'!$E$33-'System Assumptions'!$E$12))/12)</f>
        <v>-125252183.52495177</v>
      </c>
      <c r="H135" s="42">
        <f t="shared" si="22"/>
        <v>13549607334.625124</v>
      </c>
      <c r="I135" s="106">
        <f>H135/'System Assumptions'!$F$15</f>
        <v>15.252270619126433</v>
      </c>
      <c r="J135" s="42">
        <f>'System Assumptions'!$E$30+'System Assumptions'!$E$28-'Data Model Calculations'!I135</f>
        <v>64.501329380873571</v>
      </c>
      <c r="K135" s="45">
        <f t="shared" si="24"/>
        <v>59.314054422349187</v>
      </c>
      <c r="L135" s="46">
        <f t="shared" si="19"/>
        <v>803682146847416.38</v>
      </c>
      <c r="M135" s="47">
        <f>D135/1000*('System Assumptions'!$F$20*1000000)</f>
        <v>276691425000.00018</v>
      </c>
      <c r="N135" s="48"/>
      <c r="O135" s="49">
        <f>(F135/1000)*('System Assumptions'!$F$21*1000000)</f>
        <v>6427291623373.3125</v>
      </c>
      <c r="P135" s="49">
        <f t="shared" si="23"/>
        <v>-7429214830117.0566</v>
      </c>
      <c r="Q135" s="48">
        <f t="shared" si="20"/>
        <v>802956915065672.75</v>
      </c>
      <c r="R135" s="53">
        <f t="shared" si="21"/>
        <v>59.260530230552845</v>
      </c>
      <c r="S135" s="52">
        <v>35</v>
      </c>
    </row>
    <row r="136" spans="1:19">
      <c r="A136" s="3">
        <f t="shared" si="25"/>
        <v>12</v>
      </c>
      <c r="B136" s="3">
        <f t="shared" si="17"/>
        <v>134</v>
      </c>
      <c r="C136" s="40">
        <f t="shared" si="18"/>
        <v>13549607334.625124</v>
      </c>
      <c r="D136" s="41">
        <f>'System Assumptions'!$E$11/12</f>
        <v>75242280</v>
      </c>
      <c r="E136" s="41">
        <f>-'System Assumptions'!$E$10/12</f>
        <v>-133627000</v>
      </c>
      <c r="F136" s="41">
        <f>IF(I135&lt;'System Assumptions'!$E$29,'Hydrological Data Model'!$E$33/12,'Hydrological Data Model'!$E$33/12)</f>
        <v>183636903.52495179</v>
      </c>
      <c r="G136" s="42">
        <f>IF(I135&lt;'System Assumptions'!$E$29,0,-(MIN('Hydrological Data Model'!$E$34,'Hydrological Data Model'!$E$33-'System Assumptions'!$E$12))/12)</f>
        <v>-125252183.52495177</v>
      </c>
      <c r="H136" s="42">
        <f t="shared" si="22"/>
        <v>13549607334.625124</v>
      </c>
      <c r="I136" s="106">
        <f>H136/'System Assumptions'!$F$15</f>
        <v>15.252270619126433</v>
      </c>
      <c r="J136" s="42">
        <f>'System Assumptions'!$E$30+'System Assumptions'!$E$28-'Data Model Calculations'!I136</f>
        <v>64.501329380873571</v>
      </c>
      <c r="K136" s="45">
        <f t="shared" si="24"/>
        <v>59.260530230552845</v>
      </c>
      <c r="L136" s="46">
        <f t="shared" si="19"/>
        <v>802956915065672.75</v>
      </c>
      <c r="M136" s="47">
        <f>D136/1000*('System Assumptions'!$F$20*1000000)</f>
        <v>276691425000.00018</v>
      </c>
      <c r="N136" s="48"/>
      <c r="O136" s="49">
        <f>(F136/1000)*('System Assumptions'!$F$21*1000000)</f>
        <v>6427291623373.3125</v>
      </c>
      <c r="P136" s="49">
        <f t="shared" si="23"/>
        <v>-7422510808223.1572</v>
      </c>
      <c r="Q136" s="48">
        <f t="shared" si="20"/>
        <v>802238387305822.88</v>
      </c>
      <c r="R136" s="53">
        <f t="shared" si="21"/>
        <v>59.207500814857994</v>
      </c>
      <c r="S136" s="52">
        <v>35</v>
      </c>
    </row>
    <row r="137" spans="1:19">
      <c r="A137" s="3">
        <f t="shared" si="25"/>
        <v>12</v>
      </c>
      <c r="B137" s="3">
        <f t="shared" si="17"/>
        <v>135</v>
      </c>
      <c r="C137" s="40">
        <f t="shared" si="18"/>
        <v>13549607334.625124</v>
      </c>
      <c r="D137" s="41">
        <f>'System Assumptions'!$E$11/12</f>
        <v>75242280</v>
      </c>
      <c r="E137" s="41">
        <f>-'System Assumptions'!$E$10/12</f>
        <v>-133627000</v>
      </c>
      <c r="F137" s="41">
        <f>IF(I136&lt;'System Assumptions'!$E$29,'Hydrological Data Model'!$E$33/12,'Hydrological Data Model'!$E$33/12)</f>
        <v>183636903.52495179</v>
      </c>
      <c r="G137" s="42">
        <f>IF(I136&lt;'System Assumptions'!$E$29,0,-(MIN('Hydrological Data Model'!$E$34,'Hydrological Data Model'!$E$33-'System Assumptions'!$E$12))/12)</f>
        <v>-125252183.52495177</v>
      </c>
      <c r="H137" s="42">
        <f t="shared" si="22"/>
        <v>13549607334.625124</v>
      </c>
      <c r="I137" s="106">
        <f>H137/'System Assumptions'!$F$15</f>
        <v>15.252270619126433</v>
      </c>
      <c r="J137" s="42">
        <f>'System Assumptions'!$E$30+'System Assumptions'!$E$28-'Data Model Calculations'!I137</f>
        <v>64.501329380873571</v>
      </c>
      <c r="K137" s="45">
        <f t="shared" si="24"/>
        <v>59.207500814857994</v>
      </c>
      <c r="L137" s="46">
        <f t="shared" si="19"/>
        <v>802238387305822.88</v>
      </c>
      <c r="M137" s="47">
        <f>D137/1000*('System Assumptions'!$F$20*1000000)</f>
        <v>276691425000.00018</v>
      </c>
      <c r="N137" s="48"/>
      <c r="O137" s="49">
        <f>(F137/1000)*('System Assumptions'!$F$21*1000000)</f>
        <v>6427291623373.3125</v>
      </c>
      <c r="P137" s="49">
        <f t="shared" si="23"/>
        <v>-7415868758116.3252</v>
      </c>
      <c r="Q137" s="48">
        <f t="shared" si="20"/>
        <v>801526501596079.88</v>
      </c>
      <c r="R137" s="53">
        <f t="shared" si="21"/>
        <v>59.15496160156848</v>
      </c>
      <c r="S137" s="52">
        <v>35</v>
      </c>
    </row>
    <row r="138" spans="1:19">
      <c r="A138" s="3">
        <f t="shared" si="25"/>
        <v>12</v>
      </c>
      <c r="B138" s="3">
        <f t="shared" si="17"/>
        <v>136</v>
      </c>
      <c r="C138" s="40">
        <f t="shared" si="18"/>
        <v>13549607334.625124</v>
      </c>
      <c r="D138" s="41">
        <f>'System Assumptions'!$E$11/12</f>
        <v>75242280</v>
      </c>
      <c r="E138" s="41">
        <f>-'System Assumptions'!$E$10/12</f>
        <v>-133627000</v>
      </c>
      <c r="F138" s="41">
        <f>IF(I137&lt;'System Assumptions'!$E$29,'Hydrological Data Model'!$E$33/12,'Hydrological Data Model'!$E$33/12)</f>
        <v>183636903.52495179</v>
      </c>
      <c r="G138" s="42">
        <f>IF(I137&lt;'System Assumptions'!$E$29,0,-(MIN('Hydrological Data Model'!$E$34,'Hydrological Data Model'!$E$33-'System Assumptions'!$E$12))/12)</f>
        <v>-125252183.52495177</v>
      </c>
      <c r="H138" s="42">
        <f t="shared" si="22"/>
        <v>13549607334.625124</v>
      </c>
      <c r="I138" s="106">
        <f>H138/'System Assumptions'!$F$15</f>
        <v>15.252270619126433</v>
      </c>
      <c r="J138" s="42">
        <f>'System Assumptions'!$E$30+'System Assumptions'!$E$28-'Data Model Calculations'!I138</f>
        <v>64.501329380873571</v>
      </c>
      <c r="K138" s="45">
        <f t="shared" si="24"/>
        <v>59.15496160156848</v>
      </c>
      <c r="L138" s="46">
        <f t="shared" si="19"/>
        <v>801526501596079.88</v>
      </c>
      <c r="M138" s="47">
        <f>D138/1000*('System Assumptions'!$F$20*1000000)</f>
        <v>276691425000.00018</v>
      </c>
      <c r="N138" s="48"/>
      <c r="O138" s="49">
        <f>(F138/1000)*('System Assumptions'!$F$21*1000000)</f>
        <v>6427291623373.3125</v>
      </c>
      <c r="P138" s="49">
        <f t="shared" si="23"/>
        <v>-7409288106931.1299</v>
      </c>
      <c r="Q138" s="48">
        <f t="shared" si="20"/>
        <v>800821196537522.13</v>
      </c>
      <c r="R138" s="53">
        <f t="shared" si="21"/>
        <v>59.102908059267271</v>
      </c>
      <c r="S138" s="52">
        <v>35</v>
      </c>
    </row>
    <row r="139" spans="1:19">
      <c r="A139" s="3">
        <f t="shared" si="25"/>
        <v>12</v>
      </c>
      <c r="B139" s="3">
        <f t="shared" si="17"/>
        <v>137</v>
      </c>
      <c r="C139" s="40">
        <f t="shared" si="18"/>
        <v>13549607334.625124</v>
      </c>
      <c r="D139" s="41">
        <f>'System Assumptions'!$E$11/12</f>
        <v>75242280</v>
      </c>
      <c r="E139" s="41">
        <f>-'System Assumptions'!$E$10/12</f>
        <v>-133627000</v>
      </c>
      <c r="F139" s="41">
        <f>IF(I138&lt;'System Assumptions'!$E$29,'Hydrological Data Model'!$E$33/12,'Hydrological Data Model'!$E$33/12)</f>
        <v>183636903.52495179</v>
      </c>
      <c r="G139" s="42">
        <f>IF(I138&lt;'System Assumptions'!$E$29,0,-(MIN('Hydrological Data Model'!$E$34,'Hydrological Data Model'!$E$33-'System Assumptions'!$E$12))/12)</f>
        <v>-125252183.52495177</v>
      </c>
      <c r="H139" s="42">
        <f t="shared" si="22"/>
        <v>13549607334.625124</v>
      </c>
      <c r="I139" s="106">
        <f>H139/'System Assumptions'!$F$15</f>
        <v>15.252270619126433</v>
      </c>
      <c r="J139" s="42">
        <f>'System Assumptions'!$E$30+'System Assumptions'!$E$28-'Data Model Calculations'!I139</f>
        <v>64.501329380873571</v>
      </c>
      <c r="K139" s="45">
        <f t="shared" si="24"/>
        <v>59.102908059267271</v>
      </c>
      <c r="L139" s="46">
        <f t="shared" si="19"/>
        <v>800821196537522.13</v>
      </c>
      <c r="M139" s="47">
        <f>D139/1000*('System Assumptions'!$F$20*1000000)</f>
        <v>276691425000.00018</v>
      </c>
      <c r="N139" s="48"/>
      <c r="O139" s="49">
        <f>(F139/1000)*('System Assumptions'!$F$21*1000000)</f>
        <v>6427291623373.3125</v>
      </c>
      <c r="P139" s="49">
        <f t="shared" si="23"/>
        <v>-7402768287097.6953</v>
      </c>
      <c r="Q139" s="48">
        <f t="shared" si="20"/>
        <v>800122411298797.75</v>
      </c>
      <c r="R139" s="53">
        <f t="shared" si="21"/>
        <v>59.051335698425582</v>
      </c>
      <c r="S139" s="52">
        <v>35</v>
      </c>
    </row>
    <row r="140" spans="1:19">
      <c r="A140" s="3">
        <f t="shared" si="25"/>
        <v>12</v>
      </c>
      <c r="B140" s="3">
        <f t="shared" si="17"/>
        <v>138</v>
      </c>
      <c r="C140" s="40">
        <f t="shared" si="18"/>
        <v>13549607334.625124</v>
      </c>
      <c r="D140" s="41">
        <f>'System Assumptions'!$E$11/12</f>
        <v>75242280</v>
      </c>
      <c r="E140" s="41">
        <f>-'System Assumptions'!$E$10/12</f>
        <v>-133627000</v>
      </c>
      <c r="F140" s="41">
        <f>IF(I139&lt;'System Assumptions'!$E$29,'Hydrological Data Model'!$E$33/12,'Hydrological Data Model'!$E$33/12)</f>
        <v>183636903.52495179</v>
      </c>
      <c r="G140" s="42">
        <f>IF(I139&lt;'System Assumptions'!$E$29,0,-(MIN('Hydrological Data Model'!$E$34,'Hydrological Data Model'!$E$33-'System Assumptions'!$E$12))/12)</f>
        <v>-125252183.52495177</v>
      </c>
      <c r="H140" s="42">
        <f t="shared" si="22"/>
        <v>13549607334.625124</v>
      </c>
      <c r="I140" s="106">
        <f>H140/'System Assumptions'!$F$15</f>
        <v>15.252270619126433</v>
      </c>
      <c r="J140" s="42">
        <f>'System Assumptions'!$E$30+'System Assumptions'!$E$28-'Data Model Calculations'!I140</f>
        <v>64.501329380873571</v>
      </c>
      <c r="K140" s="45">
        <f t="shared" si="24"/>
        <v>59.051335698425582</v>
      </c>
      <c r="L140" s="46">
        <f t="shared" si="19"/>
        <v>800122411298797.75</v>
      </c>
      <c r="M140" s="47">
        <f>D140/1000*('System Assumptions'!$F$20*1000000)</f>
        <v>276691425000.00018</v>
      </c>
      <c r="N140" s="48"/>
      <c r="O140" s="49">
        <f>(F140/1000)*('System Assumptions'!$F$21*1000000)</f>
        <v>6427291623373.3125</v>
      </c>
      <c r="P140" s="49">
        <f t="shared" si="23"/>
        <v>-7396308736292.7373</v>
      </c>
      <c r="Q140" s="48">
        <f t="shared" si="20"/>
        <v>799430085610878.25</v>
      </c>
      <c r="R140" s="53">
        <f t="shared" si="21"/>
        <v>59.000240071015753</v>
      </c>
      <c r="S140" s="52">
        <v>35</v>
      </c>
    </row>
    <row r="141" spans="1:19">
      <c r="A141" s="3">
        <f t="shared" si="25"/>
        <v>12</v>
      </c>
      <c r="B141" s="3">
        <f t="shared" si="17"/>
        <v>139</v>
      </c>
      <c r="C141" s="40">
        <f t="shared" si="18"/>
        <v>13549607334.625124</v>
      </c>
      <c r="D141" s="41">
        <f>'System Assumptions'!$E$11/12</f>
        <v>75242280</v>
      </c>
      <c r="E141" s="41">
        <f>-'System Assumptions'!$E$10/12</f>
        <v>-133627000</v>
      </c>
      <c r="F141" s="41">
        <f>IF(I140&lt;'System Assumptions'!$E$29,'Hydrological Data Model'!$E$33/12,'Hydrological Data Model'!$E$33/12)</f>
        <v>183636903.52495179</v>
      </c>
      <c r="G141" s="42">
        <f>IF(I140&lt;'System Assumptions'!$E$29,0,-(MIN('Hydrological Data Model'!$E$34,'Hydrological Data Model'!$E$33-'System Assumptions'!$E$12))/12)</f>
        <v>-125252183.52495177</v>
      </c>
      <c r="H141" s="42">
        <f t="shared" si="22"/>
        <v>13549607334.625124</v>
      </c>
      <c r="I141" s="106">
        <f>H141/'System Assumptions'!$F$15</f>
        <v>15.252270619126433</v>
      </c>
      <c r="J141" s="42">
        <f>'System Assumptions'!$E$30+'System Assumptions'!$E$28-'Data Model Calculations'!I141</f>
        <v>64.501329380873571</v>
      </c>
      <c r="K141" s="45">
        <f t="shared" si="24"/>
        <v>59.000240071015753</v>
      </c>
      <c r="L141" s="46">
        <f t="shared" si="19"/>
        <v>799430085610878.25</v>
      </c>
      <c r="M141" s="47">
        <f>D141/1000*('System Assumptions'!$F$20*1000000)</f>
        <v>276691425000.00018</v>
      </c>
      <c r="N141" s="48"/>
      <c r="O141" s="49">
        <f>(F141/1000)*('System Assumptions'!$F$21*1000000)</f>
        <v>6427291623373.3125</v>
      </c>
      <c r="P141" s="49">
        <f t="shared" si="23"/>
        <v>-7389908897391.0781</v>
      </c>
      <c r="Q141" s="48">
        <f t="shared" si="20"/>
        <v>798744159761860.38</v>
      </c>
      <c r="R141" s="53">
        <f t="shared" si="21"/>
        <v>58.949616770127541</v>
      </c>
      <c r="S141" s="52">
        <v>35</v>
      </c>
    </row>
    <row r="142" spans="1:19">
      <c r="A142" s="3">
        <f t="shared" si="25"/>
        <v>12</v>
      </c>
      <c r="B142" s="3">
        <f t="shared" si="17"/>
        <v>140</v>
      </c>
      <c r="C142" s="40">
        <f t="shared" si="18"/>
        <v>13549607334.625124</v>
      </c>
      <c r="D142" s="41">
        <f>'System Assumptions'!$E$11/12</f>
        <v>75242280</v>
      </c>
      <c r="E142" s="41">
        <f>-'System Assumptions'!$E$10/12</f>
        <v>-133627000</v>
      </c>
      <c r="F142" s="41">
        <f>IF(I141&lt;'System Assumptions'!$E$29,'Hydrological Data Model'!$E$33/12,'Hydrological Data Model'!$E$33/12)</f>
        <v>183636903.52495179</v>
      </c>
      <c r="G142" s="42">
        <f>IF(I141&lt;'System Assumptions'!$E$29,0,-(MIN('Hydrological Data Model'!$E$34,'Hydrological Data Model'!$E$33-'System Assumptions'!$E$12))/12)</f>
        <v>-125252183.52495177</v>
      </c>
      <c r="H142" s="42">
        <f t="shared" si="22"/>
        <v>13549607334.625124</v>
      </c>
      <c r="I142" s="106">
        <f>H142/'System Assumptions'!$F$15</f>
        <v>15.252270619126433</v>
      </c>
      <c r="J142" s="42">
        <f>'System Assumptions'!$E$30+'System Assumptions'!$E$28-'Data Model Calculations'!I142</f>
        <v>64.501329380873571</v>
      </c>
      <c r="K142" s="45">
        <f t="shared" si="24"/>
        <v>58.949616770127541</v>
      </c>
      <c r="L142" s="46">
        <f t="shared" si="19"/>
        <v>798744159761860.38</v>
      </c>
      <c r="M142" s="47">
        <f>D142/1000*('System Assumptions'!$F$20*1000000)</f>
        <v>276691425000.00018</v>
      </c>
      <c r="N142" s="48"/>
      <c r="O142" s="49">
        <f>(F142/1000)*('System Assumptions'!$F$21*1000000)</f>
        <v>6427291623373.3125</v>
      </c>
      <c r="P142" s="49">
        <f t="shared" si="23"/>
        <v>-7383568218417.5889</v>
      </c>
      <c r="Q142" s="48">
        <f t="shared" si="20"/>
        <v>798064574591816.13</v>
      </c>
      <c r="R142" s="53">
        <f t="shared" si="21"/>
        <v>58.899461429588065</v>
      </c>
      <c r="S142" s="52">
        <v>35</v>
      </c>
    </row>
    <row r="143" spans="1:19">
      <c r="A143" s="3">
        <f t="shared" si="25"/>
        <v>12</v>
      </c>
      <c r="B143" s="3">
        <f t="shared" si="17"/>
        <v>141</v>
      </c>
      <c r="C143" s="40">
        <f t="shared" si="18"/>
        <v>13549607334.625124</v>
      </c>
      <c r="D143" s="41">
        <f>'System Assumptions'!$E$11/12</f>
        <v>75242280</v>
      </c>
      <c r="E143" s="41">
        <f>-'System Assumptions'!$E$10/12</f>
        <v>-133627000</v>
      </c>
      <c r="F143" s="41">
        <f>IF(I142&lt;'System Assumptions'!$E$29,'Hydrological Data Model'!$E$33/12,'Hydrological Data Model'!$E$33/12)</f>
        <v>183636903.52495179</v>
      </c>
      <c r="G143" s="42">
        <f>IF(I142&lt;'System Assumptions'!$E$29,0,-(MIN('Hydrological Data Model'!$E$34,'Hydrological Data Model'!$E$33-'System Assumptions'!$E$12))/12)</f>
        <v>-125252183.52495177</v>
      </c>
      <c r="H143" s="42">
        <f t="shared" si="22"/>
        <v>13549607334.625124</v>
      </c>
      <c r="I143" s="106">
        <f>H143/'System Assumptions'!$F$15</f>
        <v>15.252270619126433</v>
      </c>
      <c r="J143" s="42">
        <f>'System Assumptions'!$E$30+'System Assumptions'!$E$28-'Data Model Calculations'!I143</f>
        <v>64.501329380873571</v>
      </c>
      <c r="K143" s="45">
        <f t="shared" si="24"/>
        <v>58.899461429588065</v>
      </c>
      <c r="L143" s="46">
        <f t="shared" si="19"/>
        <v>798064574591816.13</v>
      </c>
      <c r="M143" s="47">
        <f>D143/1000*('System Assumptions'!$F$20*1000000)</f>
        <v>276691425000.00018</v>
      </c>
      <c r="N143" s="48"/>
      <c r="O143" s="49">
        <f>(F143/1000)*('System Assumptions'!$F$21*1000000)</f>
        <v>6427291623373.3125</v>
      </c>
      <c r="P143" s="49">
        <f t="shared" si="23"/>
        <v>-7377286152499.582</v>
      </c>
      <c r="Q143" s="48">
        <f t="shared" si="20"/>
        <v>797391271487689.88</v>
      </c>
      <c r="R143" s="53">
        <f t="shared" si="21"/>
        <v>58.849769723585219</v>
      </c>
      <c r="S143" s="52">
        <v>35</v>
      </c>
    </row>
    <row r="144" spans="1:19">
      <c r="A144" s="3">
        <f t="shared" si="25"/>
        <v>12</v>
      </c>
      <c r="B144" s="3">
        <f t="shared" ref="B144:B207" si="26">B143+1</f>
        <v>142</v>
      </c>
      <c r="C144" s="40">
        <f t="shared" si="18"/>
        <v>13549607334.625124</v>
      </c>
      <c r="D144" s="41">
        <f>'System Assumptions'!$E$11/12</f>
        <v>75242280</v>
      </c>
      <c r="E144" s="41">
        <f>-'System Assumptions'!$E$10/12</f>
        <v>-133627000</v>
      </c>
      <c r="F144" s="41">
        <f>IF(I143&lt;'System Assumptions'!$E$29,'Hydrological Data Model'!$E$33/12,'Hydrological Data Model'!$E$33/12)</f>
        <v>183636903.52495179</v>
      </c>
      <c r="G144" s="42">
        <f>IF(I143&lt;'System Assumptions'!$E$29,0,-(MIN('Hydrological Data Model'!$E$34,'Hydrological Data Model'!$E$33-'System Assumptions'!$E$12))/12)</f>
        <v>-125252183.52495177</v>
      </c>
      <c r="H144" s="42">
        <f t="shared" si="22"/>
        <v>13549607334.625124</v>
      </c>
      <c r="I144" s="106">
        <f>H144/'System Assumptions'!$F$15</f>
        <v>15.252270619126433</v>
      </c>
      <c r="J144" s="42">
        <f>'System Assumptions'!$E$30+'System Assumptions'!$E$28-'Data Model Calculations'!I144</f>
        <v>64.501329380873571</v>
      </c>
      <c r="K144" s="45">
        <f t="shared" si="24"/>
        <v>58.849769723585219</v>
      </c>
      <c r="L144" s="46">
        <f t="shared" si="19"/>
        <v>797391271487689.88</v>
      </c>
      <c r="M144" s="47">
        <f>D144/1000*('System Assumptions'!$F$20*1000000)</f>
        <v>276691425000.00018</v>
      </c>
      <c r="N144" s="48"/>
      <c r="O144" s="49">
        <f>(F144/1000)*('System Assumptions'!$F$21*1000000)</f>
        <v>6427291623373.3125</v>
      </c>
      <c r="P144" s="49">
        <f t="shared" si="23"/>
        <v>-7371062157819.6465</v>
      </c>
      <c r="Q144" s="48">
        <f t="shared" si="20"/>
        <v>796724192378243.63</v>
      </c>
      <c r="R144" s="53">
        <f t="shared" si="21"/>
        <v>58.80053736629457</v>
      </c>
      <c r="S144" s="52">
        <v>35</v>
      </c>
    </row>
    <row r="145" spans="1:19">
      <c r="A145" s="3">
        <f t="shared" si="25"/>
        <v>12</v>
      </c>
      <c r="B145" s="3">
        <f t="shared" si="26"/>
        <v>143</v>
      </c>
      <c r="C145" s="40">
        <f t="shared" si="18"/>
        <v>13549607334.625124</v>
      </c>
      <c r="D145" s="41">
        <f>'System Assumptions'!$E$11/12</f>
        <v>75242280</v>
      </c>
      <c r="E145" s="41">
        <f>-'System Assumptions'!$E$10/12</f>
        <v>-133627000</v>
      </c>
      <c r="F145" s="41">
        <f>IF(I144&lt;'System Assumptions'!$E$29,'Hydrological Data Model'!$E$33/12,'Hydrological Data Model'!$E$33/12)</f>
        <v>183636903.52495179</v>
      </c>
      <c r="G145" s="42">
        <f>IF(I144&lt;'System Assumptions'!$E$29,0,-(MIN('Hydrological Data Model'!$E$34,'Hydrological Data Model'!$E$33-'System Assumptions'!$E$12))/12)</f>
        <v>-125252183.52495177</v>
      </c>
      <c r="H145" s="42">
        <f t="shared" si="22"/>
        <v>13549607334.625124</v>
      </c>
      <c r="I145" s="106">
        <f>H145/'System Assumptions'!$F$15</f>
        <v>15.252270619126433</v>
      </c>
      <c r="J145" s="42">
        <f>'System Assumptions'!$E$30+'System Assumptions'!$E$28-'Data Model Calculations'!I145</f>
        <v>64.501329380873571</v>
      </c>
      <c r="K145" s="45">
        <f t="shared" si="24"/>
        <v>58.80053736629457</v>
      </c>
      <c r="L145" s="46">
        <f t="shared" si="19"/>
        <v>796724192378243.63</v>
      </c>
      <c r="M145" s="47">
        <f>D145/1000*('System Assumptions'!$F$20*1000000)</f>
        <v>276691425000.00018</v>
      </c>
      <c r="N145" s="48"/>
      <c r="O145" s="49">
        <f>(F145/1000)*('System Assumptions'!$F$21*1000000)</f>
        <v>6427291623373.3125</v>
      </c>
      <c r="P145" s="49">
        <f t="shared" si="23"/>
        <v>-7364895697568.9111</v>
      </c>
      <c r="Q145" s="48">
        <f t="shared" si="20"/>
        <v>796063279729048.13</v>
      </c>
      <c r="R145" s="53">
        <f t="shared" si="21"/>
        <v>58.751760111509732</v>
      </c>
      <c r="S145" s="52">
        <v>35</v>
      </c>
    </row>
    <row r="146" spans="1:19">
      <c r="A146" s="3">
        <f t="shared" si="25"/>
        <v>12</v>
      </c>
      <c r="B146" s="3">
        <f t="shared" si="26"/>
        <v>144</v>
      </c>
      <c r="C146" s="40">
        <f t="shared" si="18"/>
        <v>13549607334.625124</v>
      </c>
      <c r="D146" s="41">
        <f>'System Assumptions'!$E$11/12</f>
        <v>75242280</v>
      </c>
      <c r="E146" s="41">
        <f>-'System Assumptions'!$E$10/12</f>
        <v>-133627000</v>
      </c>
      <c r="F146" s="41">
        <f>IF(I145&lt;'System Assumptions'!$E$29,'Hydrological Data Model'!$E$33/12,'Hydrological Data Model'!$E$33/12)</f>
        <v>183636903.52495179</v>
      </c>
      <c r="G146" s="42">
        <f>IF(I145&lt;'System Assumptions'!$E$29,0,-(MIN('Hydrological Data Model'!$E$34,'Hydrological Data Model'!$E$33-'System Assumptions'!$E$12))/12)</f>
        <v>-125252183.52495177</v>
      </c>
      <c r="H146" s="42">
        <f t="shared" si="22"/>
        <v>13549607334.625124</v>
      </c>
      <c r="I146" s="106">
        <f>H146/'System Assumptions'!$F$15</f>
        <v>15.252270619126433</v>
      </c>
      <c r="J146" s="42">
        <f>'System Assumptions'!$E$30+'System Assumptions'!$E$28-'Data Model Calculations'!I146</f>
        <v>64.501329380873571</v>
      </c>
      <c r="K146" s="45">
        <f t="shared" si="24"/>
        <v>58.751760111509732</v>
      </c>
      <c r="L146" s="46">
        <f t="shared" si="19"/>
        <v>796063279729048.13</v>
      </c>
      <c r="M146" s="47">
        <f>D146/1000*('System Assumptions'!$F$20*1000000)</f>
        <v>276691425000.00018</v>
      </c>
      <c r="N146" s="48"/>
      <c r="O146" s="49">
        <f>(F146/1000)*('System Assumptions'!$F$21*1000000)</f>
        <v>6427291623373.3125</v>
      </c>
      <c r="P146" s="49">
        <f t="shared" si="23"/>
        <v>-7358786239900.7578</v>
      </c>
      <c r="Q146" s="48">
        <f t="shared" si="20"/>
        <v>795408476537520.75</v>
      </c>
      <c r="R146" s="53">
        <f t="shared" si="21"/>
        <v>58.703433752276133</v>
      </c>
      <c r="S146" s="52">
        <v>35</v>
      </c>
    </row>
    <row r="147" spans="1:19">
      <c r="A147" s="3">
        <f t="shared" si="25"/>
        <v>13</v>
      </c>
      <c r="B147" s="3">
        <f t="shared" si="26"/>
        <v>145</v>
      </c>
      <c r="C147" s="40">
        <f t="shared" si="18"/>
        <v>13549607334.625124</v>
      </c>
      <c r="D147" s="41">
        <f>'System Assumptions'!$E$11/12</f>
        <v>75242280</v>
      </c>
      <c r="E147" s="41">
        <f>-'System Assumptions'!$E$10/12</f>
        <v>-133627000</v>
      </c>
      <c r="F147" s="41">
        <f>IF(I146&lt;'System Assumptions'!$E$29,'Hydrological Data Model'!$E$33/12,'Hydrological Data Model'!$E$33/12)</f>
        <v>183636903.52495179</v>
      </c>
      <c r="G147" s="42">
        <f>IF(I146&lt;'System Assumptions'!$E$29,0,-(MIN('Hydrological Data Model'!$E$34,'Hydrological Data Model'!$E$33-'System Assumptions'!$E$12))/12)</f>
        <v>-125252183.52495177</v>
      </c>
      <c r="H147" s="42">
        <f t="shared" si="22"/>
        <v>13549607334.625124</v>
      </c>
      <c r="I147" s="106">
        <f>H147/'System Assumptions'!$F$15</f>
        <v>15.252270619126433</v>
      </c>
      <c r="J147" s="42">
        <f>'System Assumptions'!$E$30+'System Assumptions'!$E$28-'Data Model Calculations'!I147</f>
        <v>64.501329380873571</v>
      </c>
      <c r="K147" s="45">
        <f t="shared" si="24"/>
        <v>58.703433752276133</v>
      </c>
      <c r="L147" s="46">
        <f t="shared" si="19"/>
        <v>795408476537520.75</v>
      </c>
      <c r="M147" s="47">
        <f>D147/1000*('System Assumptions'!$F$20*1000000)</f>
        <v>276691425000.00018</v>
      </c>
      <c r="N147" s="48"/>
      <c r="O147" s="49">
        <f>(F147/1000)*('System Assumptions'!$F$21*1000000)</f>
        <v>6427291623373.3125</v>
      </c>
      <c r="P147" s="49">
        <f t="shared" si="23"/>
        <v>-7352733257884.9385</v>
      </c>
      <c r="Q147" s="48">
        <f t="shared" si="20"/>
        <v>794759726328009</v>
      </c>
      <c r="R147" s="53">
        <f t="shared" si="21"/>
        <v>58.655554120528137</v>
      </c>
      <c r="S147" s="52">
        <v>35</v>
      </c>
    </row>
    <row r="148" spans="1:19">
      <c r="A148" s="3">
        <f t="shared" si="25"/>
        <v>13</v>
      </c>
      <c r="B148" s="3">
        <f t="shared" si="26"/>
        <v>146</v>
      </c>
      <c r="C148" s="40">
        <f t="shared" si="18"/>
        <v>13549607334.625124</v>
      </c>
      <c r="D148" s="41">
        <f>'System Assumptions'!$E$11/12</f>
        <v>75242280</v>
      </c>
      <c r="E148" s="41">
        <f>-'System Assumptions'!$E$10/12</f>
        <v>-133627000</v>
      </c>
      <c r="F148" s="41">
        <f>IF(I147&lt;'System Assumptions'!$E$29,'Hydrological Data Model'!$E$33/12,'Hydrological Data Model'!$E$33/12)</f>
        <v>183636903.52495179</v>
      </c>
      <c r="G148" s="42">
        <f>IF(I147&lt;'System Assumptions'!$E$29,0,-(MIN('Hydrological Data Model'!$E$34,'Hydrological Data Model'!$E$33-'System Assumptions'!$E$12))/12)</f>
        <v>-125252183.52495177</v>
      </c>
      <c r="H148" s="42">
        <f t="shared" si="22"/>
        <v>13549607334.625124</v>
      </c>
      <c r="I148" s="106">
        <f>H148/'System Assumptions'!$F$15</f>
        <v>15.252270619126433</v>
      </c>
      <c r="J148" s="42">
        <f>'System Assumptions'!$E$30+'System Assumptions'!$E$28-'Data Model Calculations'!I148</f>
        <v>64.501329380873571</v>
      </c>
      <c r="K148" s="45">
        <f t="shared" si="24"/>
        <v>58.655554120528137</v>
      </c>
      <c r="L148" s="46">
        <f t="shared" si="19"/>
        <v>794759726328009</v>
      </c>
      <c r="M148" s="47">
        <f>D148/1000*('System Assumptions'!$F$20*1000000)</f>
        <v>276691425000.00018</v>
      </c>
      <c r="N148" s="48"/>
      <c r="O148" s="49">
        <f>(F148/1000)*('System Assumptions'!$F$21*1000000)</f>
        <v>6427291623373.3125</v>
      </c>
      <c r="P148" s="49">
        <f t="shared" si="23"/>
        <v>-7346736229462.1309</v>
      </c>
      <c r="Q148" s="48">
        <f t="shared" si="20"/>
        <v>794116973146920.13</v>
      </c>
      <c r="R148" s="53">
        <f t="shared" si="21"/>
        <v>58.608117086729649</v>
      </c>
      <c r="S148" s="52">
        <v>35</v>
      </c>
    </row>
    <row r="149" spans="1:19">
      <c r="A149" s="3">
        <f t="shared" si="25"/>
        <v>13</v>
      </c>
      <c r="B149" s="3">
        <f t="shared" si="26"/>
        <v>147</v>
      </c>
      <c r="C149" s="40">
        <f t="shared" si="18"/>
        <v>13549607334.625124</v>
      </c>
      <c r="D149" s="41">
        <f>'System Assumptions'!$E$11/12</f>
        <v>75242280</v>
      </c>
      <c r="E149" s="41">
        <f>-'System Assumptions'!$E$10/12</f>
        <v>-133627000</v>
      </c>
      <c r="F149" s="41">
        <f>IF(I148&lt;'System Assumptions'!$E$29,'Hydrological Data Model'!$E$33/12,'Hydrological Data Model'!$E$33/12)</f>
        <v>183636903.52495179</v>
      </c>
      <c r="G149" s="42">
        <f>IF(I148&lt;'System Assumptions'!$E$29,0,-(MIN('Hydrological Data Model'!$E$34,'Hydrological Data Model'!$E$33-'System Assumptions'!$E$12))/12)</f>
        <v>-125252183.52495177</v>
      </c>
      <c r="H149" s="42">
        <f t="shared" si="22"/>
        <v>13549607334.625124</v>
      </c>
      <c r="I149" s="106">
        <f>H149/'System Assumptions'!$F$15</f>
        <v>15.252270619126433</v>
      </c>
      <c r="J149" s="42">
        <f>'System Assumptions'!$E$30+'System Assumptions'!$E$28-'Data Model Calculations'!I149</f>
        <v>64.501329380873571</v>
      </c>
      <c r="K149" s="45">
        <f t="shared" si="24"/>
        <v>58.608117086729649</v>
      </c>
      <c r="L149" s="46">
        <f t="shared" si="19"/>
        <v>794116973146920.13</v>
      </c>
      <c r="M149" s="47">
        <f>D149/1000*('System Assumptions'!$F$20*1000000)</f>
        <v>276691425000.00018</v>
      </c>
      <c r="N149" s="48"/>
      <c r="O149" s="49">
        <f>(F149/1000)*('System Assumptions'!$F$21*1000000)</f>
        <v>6427291623373.3125</v>
      </c>
      <c r="P149" s="49">
        <f t="shared" si="23"/>
        <v>-7340794637398.9229</v>
      </c>
      <c r="Q149" s="48">
        <f t="shared" si="20"/>
        <v>793480161557894.63</v>
      </c>
      <c r="R149" s="53">
        <f t="shared" si="21"/>
        <v>58.561118559517858</v>
      </c>
      <c r="S149" s="52">
        <v>35</v>
      </c>
    </row>
    <row r="150" spans="1:19">
      <c r="A150" s="3">
        <f t="shared" si="25"/>
        <v>13</v>
      </c>
      <c r="B150" s="3">
        <f t="shared" si="26"/>
        <v>148</v>
      </c>
      <c r="C150" s="40">
        <f t="shared" si="18"/>
        <v>13549607334.625124</v>
      </c>
      <c r="D150" s="41">
        <f>'System Assumptions'!$E$11/12</f>
        <v>75242280</v>
      </c>
      <c r="E150" s="41">
        <f>-'System Assumptions'!$E$10/12</f>
        <v>-133627000</v>
      </c>
      <c r="F150" s="41">
        <f>IF(I149&lt;'System Assumptions'!$E$29,'Hydrological Data Model'!$E$33/12,'Hydrological Data Model'!$E$33/12)</f>
        <v>183636903.52495179</v>
      </c>
      <c r="G150" s="42">
        <f>IF(I149&lt;'System Assumptions'!$E$29,0,-(MIN('Hydrological Data Model'!$E$34,'Hydrological Data Model'!$E$33-'System Assumptions'!$E$12))/12)</f>
        <v>-125252183.52495177</v>
      </c>
      <c r="H150" s="42">
        <f t="shared" si="22"/>
        <v>13549607334.625124</v>
      </c>
      <c r="I150" s="106">
        <f>H150/'System Assumptions'!$F$15</f>
        <v>15.252270619126433</v>
      </c>
      <c r="J150" s="42">
        <f>'System Assumptions'!$E$30+'System Assumptions'!$E$28-'Data Model Calculations'!I150</f>
        <v>64.501329380873571</v>
      </c>
      <c r="K150" s="45">
        <f t="shared" si="24"/>
        <v>58.561118559517858</v>
      </c>
      <c r="L150" s="46">
        <f t="shared" si="19"/>
        <v>793480161557894.63</v>
      </c>
      <c r="M150" s="47">
        <f>D150/1000*('System Assumptions'!$F$20*1000000)</f>
        <v>276691425000.00018</v>
      </c>
      <c r="N150" s="48"/>
      <c r="O150" s="49">
        <f>(F150/1000)*('System Assumptions'!$F$21*1000000)</f>
        <v>6427291623373.3125</v>
      </c>
      <c r="P150" s="49">
        <f t="shared" si="23"/>
        <v>-7334907969243.1904</v>
      </c>
      <c r="Q150" s="48">
        <f t="shared" si="20"/>
        <v>792849236637024.75</v>
      </c>
      <c r="R150" s="53">
        <f t="shared" si="21"/>
        <v>58.514554485350367</v>
      </c>
      <c r="S150" s="52">
        <v>35</v>
      </c>
    </row>
    <row r="151" spans="1:19">
      <c r="A151" s="3">
        <f t="shared" si="25"/>
        <v>13</v>
      </c>
      <c r="B151" s="3">
        <f t="shared" si="26"/>
        <v>149</v>
      </c>
      <c r="C151" s="40">
        <f t="shared" si="18"/>
        <v>13549607334.625124</v>
      </c>
      <c r="D151" s="41">
        <f>'System Assumptions'!$E$11/12</f>
        <v>75242280</v>
      </c>
      <c r="E151" s="41">
        <f>-'System Assumptions'!$E$10/12</f>
        <v>-133627000</v>
      </c>
      <c r="F151" s="41">
        <f>IF(I150&lt;'System Assumptions'!$E$29,'Hydrological Data Model'!$E$33/12,'Hydrological Data Model'!$E$33/12)</f>
        <v>183636903.52495179</v>
      </c>
      <c r="G151" s="42">
        <f>IF(I150&lt;'System Assumptions'!$E$29,0,-(MIN('Hydrological Data Model'!$E$34,'Hydrological Data Model'!$E$33-'System Assumptions'!$E$12))/12)</f>
        <v>-125252183.52495177</v>
      </c>
      <c r="H151" s="42">
        <f t="shared" si="22"/>
        <v>13549607334.625124</v>
      </c>
      <c r="I151" s="106">
        <f>H151/'System Assumptions'!$F$15</f>
        <v>15.252270619126433</v>
      </c>
      <c r="J151" s="42">
        <f>'System Assumptions'!$E$30+'System Assumptions'!$E$28-'Data Model Calculations'!I151</f>
        <v>64.501329380873571</v>
      </c>
      <c r="K151" s="45">
        <f t="shared" si="24"/>
        <v>58.514554485350367</v>
      </c>
      <c r="L151" s="46">
        <f t="shared" si="19"/>
        <v>792849236637024.75</v>
      </c>
      <c r="M151" s="47">
        <f>D151/1000*('System Assumptions'!$F$20*1000000)</f>
        <v>276691425000.00018</v>
      </c>
      <c r="N151" s="48"/>
      <c r="O151" s="49">
        <f>(F151/1000)*('System Assumptions'!$F$21*1000000)</f>
        <v>6427291623373.3125</v>
      </c>
      <c r="P151" s="49">
        <f t="shared" si="23"/>
        <v>-7329075717279.8936</v>
      </c>
      <c r="Q151" s="48">
        <f t="shared" si="20"/>
        <v>792224143968118.13</v>
      </c>
      <c r="R151" s="53">
        <f t="shared" si="21"/>
        <v>58.468420848155638</v>
      </c>
      <c r="S151" s="52">
        <v>35</v>
      </c>
    </row>
    <row r="152" spans="1:19">
      <c r="A152" s="3">
        <f t="shared" si="25"/>
        <v>13</v>
      </c>
      <c r="B152" s="3">
        <f t="shared" si="26"/>
        <v>150</v>
      </c>
      <c r="C152" s="40">
        <f t="shared" si="18"/>
        <v>13549607334.625124</v>
      </c>
      <c r="D152" s="41">
        <f>'System Assumptions'!$E$11/12</f>
        <v>75242280</v>
      </c>
      <c r="E152" s="41">
        <f>-'System Assumptions'!$E$10/12</f>
        <v>-133627000</v>
      </c>
      <c r="F152" s="41">
        <f>IF(I151&lt;'System Assumptions'!$E$29,'Hydrological Data Model'!$E$33/12,'Hydrological Data Model'!$E$33/12)</f>
        <v>183636903.52495179</v>
      </c>
      <c r="G152" s="42">
        <f>IF(I151&lt;'System Assumptions'!$E$29,0,-(MIN('Hydrological Data Model'!$E$34,'Hydrological Data Model'!$E$33-'System Assumptions'!$E$12))/12)</f>
        <v>-125252183.52495177</v>
      </c>
      <c r="H152" s="42">
        <f t="shared" si="22"/>
        <v>13549607334.625124</v>
      </c>
      <c r="I152" s="106">
        <f>H152/'System Assumptions'!$F$15</f>
        <v>15.252270619126433</v>
      </c>
      <c r="J152" s="42">
        <f>'System Assumptions'!$E$30+'System Assumptions'!$E$28-'Data Model Calculations'!I152</f>
        <v>64.501329380873571</v>
      </c>
      <c r="K152" s="45">
        <f t="shared" si="24"/>
        <v>58.468420848155638</v>
      </c>
      <c r="L152" s="46">
        <f t="shared" si="19"/>
        <v>792224143968118.13</v>
      </c>
      <c r="M152" s="47">
        <f>D152/1000*('System Assumptions'!$F$20*1000000)</f>
        <v>276691425000.00018</v>
      </c>
      <c r="N152" s="48"/>
      <c r="O152" s="49">
        <f>(F152/1000)*('System Assumptions'!$F$21*1000000)</f>
        <v>6427291623373.3125</v>
      </c>
      <c r="P152" s="49">
        <f t="shared" si="23"/>
        <v>-7323297378487.3057</v>
      </c>
      <c r="Q152" s="48">
        <f t="shared" si="20"/>
        <v>791604829638004.25</v>
      </c>
      <c r="R152" s="53">
        <f t="shared" si="21"/>
        <v>58.422713668986596</v>
      </c>
      <c r="S152" s="52">
        <v>35</v>
      </c>
    </row>
    <row r="153" spans="1:19">
      <c r="A153" s="3">
        <f t="shared" si="25"/>
        <v>13</v>
      </c>
      <c r="B153" s="3">
        <f t="shared" si="26"/>
        <v>151</v>
      </c>
      <c r="C153" s="40">
        <f t="shared" si="18"/>
        <v>13549607334.625124</v>
      </c>
      <c r="D153" s="41">
        <f>'System Assumptions'!$E$11/12</f>
        <v>75242280</v>
      </c>
      <c r="E153" s="41">
        <f>-'System Assumptions'!$E$10/12</f>
        <v>-133627000</v>
      </c>
      <c r="F153" s="41">
        <f>IF(I152&lt;'System Assumptions'!$E$29,'Hydrological Data Model'!$E$33/12,'Hydrological Data Model'!$E$33/12)</f>
        <v>183636903.52495179</v>
      </c>
      <c r="G153" s="42">
        <f>IF(I152&lt;'System Assumptions'!$E$29,0,-(MIN('Hydrological Data Model'!$E$34,'Hydrological Data Model'!$E$33-'System Assumptions'!$E$12))/12)</f>
        <v>-125252183.52495177</v>
      </c>
      <c r="H153" s="42">
        <f t="shared" si="22"/>
        <v>13549607334.625124</v>
      </c>
      <c r="I153" s="106">
        <f>H153/'System Assumptions'!$F$15</f>
        <v>15.252270619126433</v>
      </c>
      <c r="J153" s="42">
        <f>'System Assumptions'!$E$30+'System Assumptions'!$E$28-'Data Model Calculations'!I153</f>
        <v>64.501329380873571</v>
      </c>
      <c r="K153" s="45">
        <f t="shared" si="24"/>
        <v>58.422713668986596</v>
      </c>
      <c r="L153" s="46">
        <f t="shared" si="19"/>
        <v>791604829638004.25</v>
      </c>
      <c r="M153" s="47">
        <f>D153/1000*('System Assumptions'!$F$20*1000000)</f>
        <v>276691425000.00018</v>
      </c>
      <c r="N153" s="48"/>
      <c r="O153" s="49">
        <f>(F153/1000)*('System Assumptions'!$F$21*1000000)</f>
        <v>6427291623373.3125</v>
      </c>
      <c r="P153" s="49">
        <f t="shared" si="23"/>
        <v>-7317572454493.6172</v>
      </c>
      <c r="Q153" s="48">
        <f t="shared" si="20"/>
        <v>790991240231883.88</v>
      </c>
      <c r="R153" s="53">
        <f t="shared" si="21"/>
        <v>58.377429005677399</v>
      </c>
      <c r="S153" s="52">
        <v>35</v>
      </c>
    </row>
    <row r="154" spans="1:19">
      <c r="A154" s="3">
        <f t="shared" si="25"/>
        <v>13</v>
      </c>
      <c r="B154" s="3">
        <f t="shared" si="26"/>
        <v>152</v>
      </c>
      <c r="C154" s="40">
        <f t="shared" si="18"/>
        <v>13549607334.625124</v>
      </c>
      <c r="D154" s="41">
        <f>'System Assumptions'!$E$11/12</f>
        <v>75242280</v>
      </c>
      <c r="E154" s="41">
        <f>-'System Assumptions'!$E$10/12</f>
        <v>-133627000</v>
      </c>
      <c r="F154" s="41">
        <f>IF(I153&lt;'System Assumptions'!$E$29,'Hydrological Data Model'!$E$33/12,'Hydrological Data Model'!$E$33/12)</f>
        <v>183636903.52495179</v>
      </c>
      <c r="G154" s="42">
        <f>IF(I153&lt;'System Assumptions'!$E$29,0,-(MIN('Hydrological Data Model'!$E$34,'Hydrological Data Model'!$E$33-'System Assumptions'!$E$12))/12)</f>
        <v>-125252183.52495177</v>
      </c>
      <c r="H154" s="42">
        <f t="shared" si="22"/>
        <v>13549607334.625124</v>
      </c>
      <c r="I154" s="106">
        <f>H154/'System Assumptions'!$F$15</f>
        <v>15.252270619126433</v>
      </c>
      <c r="J154" s="42">
        <f>'System Assumptions'!$E$30+'System Assumptions'!$E$28-'Data Model Calculations'!I154</f>
        <v>64.501329380873571</v>
      </c>
      <c r="K154" s="45">
        <f t="shared" si="24"/>
        <v>58.377429005677399</v>
      </c>
      <c r="L154" s="46">
        <f t="shared" si="19"/>
        <v>790991240231883.88</v>
      </c>
      <c r="M154" s="47">
        <f>D154/1000*('System Assumptions'!$F$20*1000000)</f>
        <v>276691425000.00018</v>
      </c>
      <c r="N154" s="48"/>
      <c r="O154" s="49">
        <f>(F154/1000)*('System Assumptions'!$F$21*1000000)</f>
        <v>6427291623373.3125</v>
      </c>
      <c r="P154" s="49">
        <f t="shared" si="23"/>
        <v>-7311900451533.9482</v>
      </c>
      <c r="Q154" s="48">
        <f t="shared" si="20"/>
        <v>790383322828723.25</v>
      </c>
      <c r="R154" s="53">
        <f t="shared" si="21"/>
        <v>58.332562952503501</v>
      </c>
      <c r="S154" s="52">
        <v>35</v>
      </c>
    </row>
    <row r="155" spans="1:19">
      <c r="A155" s="3">
        <f t="shared" si="25"/>
        <v>13</v>
      </c>
      <c r="B155" s="3">
        <f t="shared" si="26"/>
        <v>153</v>
      </c>
      <c r="C155" s="40">
        <f t="shared" si="18"/>
        <v>13549607334.625124</v>
      </c>
      <c r="D155" s="41">
        <f>'System Assumptions'!$E$11/12</f>
        <v>75242280</v>
      </c>
      <c r="E155" s="41">
        <f>-'System Assumptions'!$E$10/12</f>
        <v>-133627000</v>
      </c>
      <c r="F155" s="41">
        <f>IF(I154&lt;'System Assumptions'!$E$29,'Hydrological Data Model'!$E$33/12,'Hydrological Data Model'!$E$33/12)</f>
        <v>183636903.52495179</v>
      </c>
      <c r="G155" s="42">
        <f>IF(I154&lt;'System Assumptions'!$E$29,0,-(MIN('Hydrological Data Model'!$E$34,'Hydrological Data Model'!$E$33-'System Assumptions'!$E$12))/12)</f>
        <v>-125252183.52495177</v>
      </c>
      <c r="H155" s="42">
        <f t="shared" si="22"/>
        <v>13549607334.625124</v>
      </c>
      <c r="I155" s="106">
        <f>H155/'System Assumptions'!$F$15</f>
        <v>15.252270619126433</v>
      </c>
      <c r="J155" s="42">
        <f>'System Assumptions'!$E$30+'System Assumptions'!$E$28-'Data Model Calculations'!I155</f>
        <v>64.501329380873571</v>
      </c>
      <c r="K155" s="45">
        <f t="shared" si="24"/>
        <v>58.332562952503501</v>
      </c>
      <c r="L155" s="46">
        <f t="shared" si="19"/>
        <v>790383322828723.25</v>
      </c>
      <c r="M155" s="47">
        <f>D155/1000*('System Assumptions'!$F$20*1000000)</f>
        <v>276691425000.00018</v>
      </c>
      <c r="N155" s="48"/>
      <c r="O155" s="49">
        <f>(F155/1000)*('System Assumptions'!$F$21*1000000)</f>
        <v>6427291623373.3125</v>
      </c>
      <c r="P155" s="49">
        <f t="shared" si="23"/>
        <v>-7306280880407.7715</v>
      </c>
      <c r="Q155" s="48">
        <f t="shared" si="20"/>
        <v>789781024996688.75</v>
      </c>
      <c r="R155" s="53">
        <f t="shared" si="21"/>
        <v>58.288111639844772</v>
      </c>
      <c r="S155" s="52">
        <v>35</v>
      </c>
    </row>
    <row r="156" spans="1:19">
      <c r="A156" s="3">
        <f t="shared" si="25"/>
        <v>13</v>
      </c>
      <c r="B156" s="3">
        <f t="shared" si="26"/>
        <v>154</v>
      </c>
      <c r="C156" s="40">
        <f t="shared" si="18"/>
        <v>13549607334.625124</v>
      </c>
      <c r="D156" s="41">
        <f>'System Assumptions'!$E$11/12</f>
        <v>75242280</v>
      </c>
      <c r="E156" s="41">
        <f>-'System Assumptions'!$E$10/12</f>
        <v>-133627000</v>
      </c>
      <c r="F156" s="41">
        <f>IF(I155&lt;'System Assumptions'!$E$29,'Hydrological Data Model'!$E$33/12,'Hydrological Data Model'!$E$33/12)</f>
        <v>183636903.52495179</v>
      </c>
      <c r="G156" s="42">
        <f>IF(I155&lt;'System Assumptions'!$E$29,0,-(MIN('Hydrological Data Model'!$E$34,'Hydrological Data Model'!$E$33-'System Assumptions'!$E$12))/12)</f>
        <v>-125252183.52495177</v>
      </c>
      <c r="H156" s="42">
        <f t="shared" si="22"/>
        <v>13549607334.625124</v>
      </c>
      <c r="I156" s="106">
        <f>H156/'System Assumptions'!$F$15</f>
        <v>15.252270619126433</v>
      </c>
      <c r="J156" s="42">
        <f>'System Assumptions'!$E$30+'System Assumptions'!$E$28-'Data Model Calculations'!I156</f>
        <v>64.501329380873571</v>
      </c>
      <c r="K156" s="45">
        <f t="shared" si="24"/>
        <v>58.288111639844772</v>
      </c>
      <c r="L156" s="46">
        <f t="shared" si="19"/>
        <v>789781024996688.75</v>
      </c>
      <c r="M156" s="47">
        <f>D156/1000*('System Assumptions'!$F$20*1000000)</f>
        <v>276691425000.00018</v>
      </c>
      <c r="N156" s="48"/>
      <c r="O156" s="49">
        <f>(F156/1000)*('System Assumptions'!$F$21*1000000)</f>
        <v>6427291623373.3125</v>
      </c>
      <c r="P156" s="49">
        <f t="shared" si="23"/>
        <v>-7300713256436.7148</v>
      </c>
      <c r="Q156" s="48">
        <f t="shared" si="20"/>
        <v>789184294788625.25</v>
      </c>
      <c r="R156" s="53">
        <f t="shared" si="21"/>
        <v>58.244071233851706</v>
      </c>
      <c r="S156" s="52">
        <v>35</v>
      </c>
    </row>
    <row r="157" spans="1:19">
      <c r="A157" s="3">
        <f t="shared" si="25"/>
        <v>13</v>
      </c>
      <c r="B157" s="3">
        <f t="shared" si="26"/>
        <v>155</v>
      </c>
      <c r="C157" s="40">
        <f t="shared" si="18"/>
        <v>13549607334.625124</v>
      </c>
      <c r="D157" s="41">
        <f>'System Assumptions'!$E$11/12</f>
        <v>75242280</v>
      </c>
      <c r="E157" s="41">
        <f>-'System Assumptions'!$E$10/12</f>
        <v>-133627000</v>
      </c>
      <c r="F157" s="41">
        <f>IF(I156&lt;'System Assumptions'!$E$29,'Hydrological Data Model'!$E$33/12,'Hydrological Data Model'!$E$33/12)</f>
        <v>183636903.52495179</v>
      </c>
      <c r="G157" s="42">
        <f>IF(I156&lt;'System Assumptions'!$E$29,0,-(MIN('Hydrological Data Model'!$E$34,'Hydrological Data Model'!$E$33-'System Assumptions'!$E$12))/12)</f>
        <v>-125252183.52495177</v>
      </c>
      <c r="H157" s="42">
        <f t="shared" si="22"/>
        <v>13549607334.625124</v>
      </c>
      <c r="I157" s="106">
        <f>H157/'System Assumptions'!$F$15</f>
        <v>15.252270619126433</v>
      </c>
      <c r="J157" s="42">
        <f>'System Assumptions'!$E$30+'System Assumptions'!$E$28-'Data Model Calculations'!I157</f>
        <v>64.501329380873571</v>
      </c>
      <c r="K157" s="45">
        <f t="shared" si="24"/>
        <v>58.244071233851706</v>
      </c>
      <c r="L157" s="46">
        <f t="shared" si="19"/>
        <v>789184294788625.25</v>
      </c>
      <c r="M157" s="47">
        <f>D157/1000*('System Assumptions'!$F$20*1000000)</f>
        <v>276691425000.00018</v>
      </c>
      <c r="N157" s="48"/>
      <c r="O157" s="49">
        <f>(F157/1000)*('System Assumptions'!$F$21*1000000)</f>
        <v>6427291623373.3125</v>
      </c>
      <c r="P157" s="49">
        <f t="shared" si="23"/>
        <v>-7295197099422.7578</v>
      </c>
      <c r="Q157" s="48">
        <f t="shared" si="20"/>
        <v>788593080737575.75</v>
      </c>
      <c r="R157" s="53">
        <f t="shared" si="21"/>
        <v>58.200437936114831</v>
      </c>
      <c r="S157" s="52">
        <v>35</v>
      </c>
    </row>
    <row r="158" spans="1:19">
      <c r="A158" s="3">
        <f t="shared" si="25"/>
        <v>13</v>
      </c>
      <c r="B158" s="3">
        <f t="shared" si="26"/>
        <v>156</v>
      </c>
      <c r="C158" s="40">
        <f t="shared" si="18"/>
        <v>13549607334.625124</v>
      </c>
      <c r="D158" s="41">
        <f>'System Assumptions'!$E$11/12</f>
        <v>75242280</v>
      </c>
      <c r="E158" s="41">
        <f>-'System Assumptions'!$E$10/12</f>
        <v>-133627000</v>
      </c>
      <c r="F158" s="41">
        <f>IF(I157&lt;'System Assumptions'!$E$29,'Hydrological Data Model'!$E$33/12,'Hydrological Data Model'!$E$33/12)</f>
        <v>183636903.52495179</v>
      </c>
      <c r="G158" s="42">
        <f>IF(I157&lt;'System Assumptions'!$E$29,0,-(MIN('Hydrological Data Model'!$E$34,'Hydrological Data Model'!$E$33-'System Assumptions'!$E$12))/12)</f>
        <v>-125252183.52495177</v>
      </c>
      <c r="H158" s="42">
        <f t="shared" si="22"/>
        <v>13549607334.625124</v>
      </c>
      <c r="I158" s="106">
        <f>H158/'System Assumptions'!$F$15</f>
        <v>15.252270619126433</v>
      </c>
      <c r="J158" s="42">
        <f>'System Assumptions'!$E$30+'System Assumptions'!$E$28-'Data Model Calculations'!I158</f>
        <v>64.501329380873571</v>
      </c>
      <c r="K158" s="45">
        <f t="shared" si="24"/>
        <v>58.200437936114831</v>
      </c>
      <c r="L158" s="46">
        <f t="shared" si="19"/>
        <v>788593080737575.75</v>
      </c>
      <c r="M158" s="47">
        <f>D158/1000*('System Assumptions'!$F$20*1000000)</f>
        <v>276691425000.00018</v>
      </c>
      <c r="N158" s="48"/>
      <c r="O158" s="49">
        <f>(F158/1000)*('System Assumptions'!$F$21*1000000)</f>
        <v>6427291623373.3125</v>
      </c>
      <c r="P158" s="49">
        <f t="shared" si="23"/>
        <v>-7289731933606.8203</v>
      </c>
      <c r="Q158" s="48">
        <f t="shared" si="20"/>
        <v>788007331852342.13</v>
      </c>
      <c r="R158" s="53">
        <f t="shared" si="21"/>
        <v>58.157207983337024</v>
      </c>
      <c r="S158" s="52">
        <v>35</v>
      </c>
    </row>
    <row r="159" spans="1:19">
      <c r="A159" s="3">
        <f t="shared" si="25"/>
        <v>14</v>
      </c>
      <c r="B159" s="3">
        <f t="shared" si="26"/>
        <v>157</v>
      </c>
      <c r="C159" s="40">
        <f t="shared" si="18"/>
        <v>13549607334.625124</v>
      </c>
      <c r="D159" s="41">
        <f>'System Assumptions'!$E$11/12</f>
        <v>75242280</v>
      </c>
      <c r="E159" s="41">
        <f>-'System Assumptions'!$E$10/12</f>
        <v>-133627000</v>
      </c>
      <c r="F159" s="41">
        <f>IF(I158&lt;'System Assumptions'!$E$29,'Hydrological Data Model'!$E$33/12,'Hydrological Data Model'!$E$33/12)</f>
        <v>183636903.52495179</v>
      </c>
      <c r="G159" s="42">
        <f>IF(I158&lt;'System Assumptions'!$E$29,0,-(MIN('Hydrological Data Model'!$E$34,'Hydrological Data Model'!$E$33-'System Assumptions'!$E$12))/12)</f>
        <v>-125252183.52495177</v>
      </c>
      <c r="H159" s="42">
        <f t="shared" si="22"/>
        <v>13549607334.625124</v>
      </c>
      <c r="I159" s="106">
        <f>H159/'System Assumptions'!$F$15</f>
        <v>15.252270619126433</v>
      </c>
      <c r="J159" s="42">
        <f>'System Assumptions'!$E$30+'System Assumptions'!$E$28-'Data Model Calculations'!I159</f>
        <v>64.501329380873571</v>
      </c>
      <c r="K159" s="45">
        <f t="shared" si="24"/>
        <v>58.157207983337024</v>
      </c>
      <c r="L159" s="46">
        <f t="shared" si="19"/>
        <v>788007331852342.13</v>
      </c>
      <c r="M159" s="47">
        <f>D159/1000*('System Assumptions'!$F$20*1000000)</f>
        <v>276691425000.00018</v>
      </c>
      <c r="N159" s="48"/>
      <c r="O159" s="49">
        <f>(F159/1000)*('System Assumptions'!$F$21*1000000)</f>
        <v>6427291623373.3125</v>
      </c>
      <c r="P159" s="49">
        <f t="shared" si="23"/>
        <v>-7284317287627.7188</v>
      </c>
      <c r="Q159" s="48">
        <f t="shared" si="20"/>
        <v>787426997613087.75</v>
      </c>
      <c r="R159" s="53">
        <f t="shared" si="21"/>
        <v>58.114377647009015</v>
      </c>
      <c r="S159" s="52">
        <v>35</v>
      </c>
    </row>
    <row r="160" spans="1:19">
      <c r="A160" s="3">
        <f t="shared" si="25"/>
        <v>14</v>
      </c>
      <c r="B160" s="3">
        <f t="shared" si="26"/>
        <v>158</v>
      </c>
      <c r="C160" s="40">
        <f t="shared" si="18"/>
        <v>13549607334.625124</v>
      </c>
      <c r="D160" s="41">
        <f>'System Assumptions'!$E$11/12</f>
        <v>75242280</v>
      </c>
      <c r="E160" s="41">
        <f>-'System Assumptions'!$E$10/12</f>
        <v>-133627000</v>
      </c>
      <c r="F160" s="41">
        <f>IF(I159&lt;'System Assumptions'!$E$29,'Hydrological Data Model'!$E$33/12,'Hydrological Data Model'!$E$33/12)</f>
        <v>183636903.52495179</v>
      </c>
      <c r="G160" s="42">
        <f>IF(I159&lt;'System Assumptions'!$E$29,0,-(MIN('Hydrological Data Model'!$E$34,'Hydrological Data Model'!$E$33-'System Assumptions'!$E$12))/12)</f>
        <v>-125252183.52495177</v>
      </c>
      <c r="H160" s="42">
        <f t="shared" si="22"/>
        <v>13549607334.625124</v>
      </c>
      <c r="I160" s="106">
        <f>H160/'System Assumptions'!$F$15</f>
        <v>15.252270619126433</v>
      </c>
      <c r="J160" s="42">
        <f>'System Assumptions'!$E$30+'System Assumptions'!$E$28-'Data Model Calculations'!I160</f>
        <v>64.501329380873571</v>
      </c>
      <c r="K160" s="45">
        <f t="shared" si="24"/>
        <v>58.114377647009015</v>
      </c>
      <c r="L160" s="46">
        <f t="shared" si="19"/>
        <v>787426997613087.75</v>
      </c>
      <c r="M160" s="47">
        <f>D160/1000*('System Assumptions'!$F$20*1000000)</f>
        <v>276691425000.00018</v>
      </c>
      <c r="N160" s="48"/>
      <c r="O160" s="49">
        <f>(F160/1000)*('System Assumptions'!$F$21*1000000)</f>
        <v>6427291623373.3125</v>
      </c>
      <c r="P160" s="49">
        <f t="shared" si="23"/>
        <v>-7278952694481.5283</v>
      </c>
      <c r="Q160" s="48">
        <f t="shared" si="20"/>
        <v>786852027966979.5</v>
      </c>
      <c r="R160" s="53">
        <f t="shared" si="21"/>
        <v>58.071943233087737</v>
      </c>
      <c r="S160" s="52">
        <v>35</v>
      </c>
    </row>
    <row r="161" spans="1:19">
      <c r="A161" s="3">
        <f t="shared" si="25"/>
        <v>14</v>
      </c>
      <c r="B161" s="3">
        <f t="shared" si="26"/>
        <v>159</v>
      </c>
      <c r="C161" s="40">
        <f t="shared" si="18"/>
        <v>13549607334.625124</v>
      </c>
      <c r="D161" s="41">
        <f>'System Assumptions'!$E$11/12</f>
        <v>75242280</v>
      </c>
      <c r="E161" s="41">
        <f>-'System Assumptions'!$E$10/12</f>
        <v>-133627000</v>
      </c>
      <c r="F161" s="41">
        <f>IF(I160&lt;'System Assumptions'!$E$29,'Hydrological Data Model'!$E$33/12,'Hydrological Data Model'!$E$33/12)</f>
        <v>183636903.52495179</v>
      </c>
      <c r="G161" s="42">
        <f>IF(I160&lt;'System Assumptions'!$E$29,0,-(MIN('Hydrological Data Model'!$E$34,'Hydrological Data Model'!$E$33-'System Assumptions'!$E$12))/12)</f>
        <v>-125252183.52495177</v>
      </c>
      <c r="H161" s="42">
        <f t="shared" si="22"/>
        <v>13549607334.625124</v>
      </c>
      <c r="I161" s="106">
        <f>H161/'System Assumptions'!$F$15</f>
        <v>15.252270619126433</v>
      </c>
      <c r="J161" s="42">
        <f>'System Assumptions'!$E$30+'System Assumptions'!$E$28-'Data Model Calculations'!I161</f>
        <v>64.501329380873571</v>
      </c>
      <c r="K161" s="45">
        <f t="shared" si="24"/>
        <v>58.071943233087737</v>
      </c>
      <c r="L161" s="46">
        <f t="shared" si="19"/>
        <v>786852027966979.5</v>
      </c>
      <c r="M161" s="47">
        <f>D161/1000*('System Assumptions'!$F$20*1000000)</f>
        <v>276691425000.00018</v>
      </c>
      <c r="N161" s="48"/>
      <c r="O161" s="49">
        <f>(F161/1000)*('System Assumptions'!$F$21*1000000)</f>
        <v>6427291623373.3125</v>
      </c>
      <c r="P161" s="49">
        <f t="shared" si="23"/>
        <v>-7273637691481.2861</v>
      </c>
      <c r="Q161" s="48">
        <f t="shared" si="20"/>
        <v>786282373323871.5</v>
      </c>
      <c r="R161" s="53">
        <f t="shared" si="21"/>
        <v>58.029901081677764</v>
      </c>
      <c r="S161" s="52">
        <v>35</v>
      </c>
    </row>
    <row r="162" spans="1:19">
      <c r="A162" s="3">
        <f t="shared" si="25"/>
        <v>14</v>
      </c>
      <c r="B162" s="3">
        <f t="shared" si="26"/>
        <v>160</v>
      </c>
      <c r="C162" s="40">
        <f t="shared" si="18"/>
        <v>13549607334.625124</v>
      </c>
      <c r="D162" s="41">
        <f>'System Assumptions'!$E$11/12</f>
        <v>75242280</v>
      </c>
      <c r="E162" s="41">
        <f>-'System Assumptions'!$E$10/12</f>
        <v>-133627000</v>
      </c>
      <c r="F162" s="41">
        <f>IF(I161&lt;'System Assumptions'!$E$29,'Hydrological Data Model'!$E$33/12,'Hydrological Data Model'!$E$33/12)</f>
        <v>183636903.52495179</v>
      </c>
      <c r="G162" s="42">
        <f>IF(I161&lt;'System Assumptions'!$E$29,0,-(MIN('Hydrological Data Model'!$E$34,'Hydrological Data Model'!$E$33-'System Assumptions'!$E$12))/12)</f>
        <v>-125252183.52495177</v>
      </c>
      <c r="H162" s="42">
        <f t="shared" si="22"/>
        <v>13549607334.625124</v>
      </c>
      <c r="I162" s="106">
        <f>H162/'System Assumptions'!$F$15</f>
        <v>15.252270619126433</v>
      </c>
      <c r="J162" s="42">
        <f>'System Assumptions'!$E$30+'System Assumptions'!$E$28-'Data Model Calculations'!I162</f>
        <v>64.501329380873571</v>
      </c>
      <c r="K162" s="45">
        <f t="shared" si="24"/>
        <v>58.029901081677764</v>
      </c>
      <c r="L162" s="46">
        <f t="shared" si="19"/>
        <v>786282373323871.5</v>
      </c>
      <c r="M162" s="47">
        <f>D162/1000*('System Assumptions'!$F$20*1000000)</f>
        <v>276691425000.00018</v>
      </c>
      <c r="N162" s="48"/>
      <c r="O162" s="49">
        <f>(F162/1000)*('System Assumptions'!$F$21*1000000)</f>
        <v>6427291623373.3125</v>
      </c>
      <c r="P162" s="49">
        <f t="shared" si="23"/>
        <v>-7268371820217.0996</v>
      </c>
      <c r="Q162" s="48">
        <f t="shared" si="20"/>
        <v>785717984552027.63</v>
      </c>
      <c r="R162" s="53">
        <f t="shared" si="21"/>
        <v>57.988247566715636</v>
      </c>
      <c r="S162" s="52">
        <v>35</v>
      </c>
    </row>
    <row r="163" spans="1:19">
      <c r="A163" s="3">
        <f t="shared" si="25"/>
        <v>14</v>
      </c>
      <c r="B163" s="3">
        <f t="shared" si="26"/>
        <v>161</v>
      </c>
      <c r="C163" s="40">
        <f t="shared" si="18"/>
        <v>13549607334.625124</v>
      </c>
      <c r="D163" s="41">
        <f>'System Assumptions'!$E$11/12</f>
        <v>75242280</v>
      </c>
      <c r="E163" s="41">
        <f>-'System Assumptions'!$E$10/12</f>
        <v>-133627000</v>
      </c>
      <c r="F163" s="41">
        <f>IF(I162&lt;'System Assumptions'!$E$29,'Hydrological Data Model'!$E$33/12,'Hydrological Data Model'!$E$33/12)</f>
        <v>183636903.52495179</v>
      </c>
      <c r="G163" s="42">
        <f>IF(I162&lt;'System Assumptions'!$E$29,0,-(MIN('Hydrological Data Model'!$E$34,'Hydrological Data Model'!$E$33-'System Assumptions'!$E$12))/12)</f>
        <v>-125252183.52495177</v>
      </c>
      <c r="H163" s="42">
        <f t="shared" si="22"/>
        <v>13549607334.625124</v>
      </c>
      <c r="I163" s="106">
        <f>H163/'System Assumptions'!$F$15</f>
        <v>15.252270619126433</v>
      </c>
      <c r="J163" s="42">
        <f>'System Assumptions'!$E$30+'System Assumptions'!$E$28-'Data Model Calculations'!I163</f>
        <v>64.501329380873571</v>
      </c>
      <c r="K163" s="45">
        <f t="shared" si="24"/>
        <v>57.988247566715636</v>
      </c>
      <c r="L163" s="46">
        <f t="shared" si="19"/>
        <v>785717984552027.63</v>
      </c>
      <c r="M163" s="47">
        <f>D163/1000*('System Assumptions'!$F$20*1000000)</f>
        <v>276691425000.00018</v>
      </c>
      <c r="N163" s="48"/>
      <c r="O163" s="49">
        <f>(F163/1000)*('System Assumptions'!$F$21*1000000)</f>
        <v>6427291623373.3125</v>
      </c>
      <c r="P163" s="49">
        <f t="shared" si="23"/>
        <v>-7263154626516.6035</v>
      </c>
      <c r="Q163" s="48">
        <f t="shared" si="20"/>
        <v>785158812973884.38</v>
      </c>
      <c r="R163" s="53">
        <f t="shared" si="21"/>
        <v>57.94697909565712</v>
      </c>
      <c r="S163" s="52">
        <v>35</v>
      </c>
    </row>
    <row r="164" spans="1:19">
      <c r="A164" s="3">
        <f t="shared" si="25"/>
        <v>14</v>
      </c>
      <c r="B164" s="3">
        <f t="shared" si="26"/>
        <v>162</v>
      </c>
      <c r="C164" s="40">
        <f t="shared" si="18"/>
        <v>13549607334.625124</v>
      </c>
      <c r="D164" s="41">
        <f>'System Assumptions'!$E$11/12</f>
        <v>75242280</v>
      </c>
      <c r="E164" s="41">
        <f>-'System Assumptions'!$E$10/12</f>
        <v>-133627000</v>
      </c>
      <c r="F164" s="41">
        <f>IF(I163&lt;'System Assumptions'!$E$29,'Hydrological Data Model'!$E$33/12,'Hydrological Data Model'!$E$33/12)</f>
        <v>183636903.52495179</v>
      </c>
      <c r="G164" s="42">
        <f>IF(I163&lt;'System Assumptions'!$E$29,0,-(MIN('Hydrological Data Model'!$E$34,'Hydrological Data Model'!$E$33-'System Assumptions'!$E$12))/12)</f>
        <v>-125252183.52495177</v>
      </c>
      <c r="H164" s="42">
        <f t="shared" si="22"/>
        <v>13549607334.625124</v>
      </c>
      <c r="I164" s="106">
        <f>H164/'System Assumptions'!$F$15</f>
        <v>15.252270619126433</v>
      </c>
      <c r="J164" s="42">
        <f>'System Assumptions'!$E$30+'System Assumptions'!$E$28-'Data Model Calculations'!I164</f>
        <v>64.501329380873571</v>
      </c>
      <c r="K164" s="45">
        <f t="shared" si="24"/>
        <v>57.94697909565712</v>
      </c>
      <c r="L164" s="46">
        <f t="shared" si="19"/>
        <v>785158812973884.38</v>
      </c>
      <c r="M164" s="47">
        <f>D164/1000*('System Assumptions'!$F$20*1000000)</f>
        <v>276691425000.00018</v>
      </c>
      <c r="N164" s="48"/>
      <c r="O164" s="49">
        <f>(F164/1000)*('System Assumptions'!$F$21*1000000)</f>
        <v>6427291623373.3125</v>
      </c>
      <c r="P164" s="49">
        <f t="shared" si="23"/>
        <v>-7257985660405.7891</v>
      </c>
      <c r="Q164" s="48">
        <f t="shared" si="20"/>
        <v>784604810361852</v>
      </c>
      <c r="R164" s="53">
        <f t="shared" si="21"/>
        <v>57.906092109167353</v>
      </c>
      <c r="S164" s="52">
        <v>35</v>
      </c>
    </row>
    <row r="165" spans="1:19">
      <c r="A165" s="3">
        <f t="shared" si="25"/>
        <v>14</v>
      </c>
      <c r="B165" s="3">
        <f t="shared" si="26"/>
        <v>163</v>
      </c>
      <c r="C165" s="40">
        <f t="shared" ref="C165:C228" si="27">H164</f>
        <v>13549607334.625124</v>
      </c>
      <c r="D165" s="41">
        <f>'System Assumptions'!$E$11/12</f>
        <v>75242280</v>
      </c>
      <c r="E165" s="41">
        <f>-'System Assumptions'!$E$10/12</f>
        <v>-133627000</v>
      </c>
      <c r="F165" s="41">
        <f>IF(I164&lt;'System Assumptions'!$E$29,'Hydrological Data Model'!$E$33/12,'Hydrological Data Model'!$E$33/12)</f>
        <v>183636903.52495179</v>
      </c>
      <c r="G165" s="42">
        <f>IF(I164&lt;'System Assumptions'!$E$29,0,-(MIN('Hydrological Data Model'!$E$34,'Hydrological Data Model'!$E$33-'System Assumptions'!$E$12))/12)</f>
        <v>-125252183.52495177</v>
      </c>
      <c r="H165" s="42">
        <f t="shared" si="22"/>
        <v>13549607334.625124</v>
      </c>
      <c r="I165" s="106">
        <f>H165/'System Assumptions'!$F$15</f>
        <v>15.252270619126433</v>
      </c>
      <c r="J165" s="42">
        <f>'System Assumptions'!$E$30+'System Assumptions'!$E$28-'Data Model Calculations'!I165</f>
        <v>64.501329380873571</v>
      </c>
      <c r="K165" s="45">
        <f t="shared" si="24"/>
        <v>57.906092109167353</v>
      </c>
      <c r="L165" s="46">
        <f t="shared" ref="L165:L228" si="28">Q164</f>
        <v>784604810361852</v>
      </c>
      <c r="M165" s="47">
        <f>D165/1000*('System Assumptions'!$F$20*1000000)</f>
        <v>276691425000.00018</v>
      </c>
      <c r="N165" s="48"/>
      <c r="O165" s="49">
        <f>(F165/1000)*('System Assumptions'!$F$21*1000000)</f>
        <v>6427291623373.3125</v>
      </c>
      <c r="P165" s="49">
        <f t="shared" si="23"/>
        <v>-7252864476070.1914</v>
      </c>
      <c r="Q165" s="48">
        <f t="shared" ref="Q165:Q228" si="29">SUM(L165:P165)</f>
        <v>784055928934155</v>
      </c>
      <c r="R165" s="53">
        <f t="shared" ref="R165:R228" si="30">(Q165*1000)/(H165*1000000)</f>
        <v>57.865583080813863</v>
      </c>
      <c r="S165" s="52">
        <v>35</v>
      </c>
    </row>
    <row r="166" spans="1:19">
      <c r="A166" s="3">
        <f t="shared" si="25"/>
        <v>14</v>
      </c>
      <c r="B166" s="3">
        <f t="shared" si="26"/>
        <v>164</v>
      </c>
      <c r="C166" s="40">
        <f t="shared" si="27"/>
        <v>13549607334.625124</v>
      </c>
      <c r="D166" s="41">
        <f>'System Assumptions'!$E$11/12</f>
        <v>75242280</v>
      </c>
      <c r="E166" s="41">
        <f>-'System Assumptions'!$E$10/12</f>
        <v>-133627000</v>
      </c>
      <c r="F166" s="41">
        <f>IF(I165&lt;'System Assumptions'!$E$29,'Hydrological Data Model'!$E$33/12,'Hydrological Data Model'!$E$33/12)</f>
        <v>183636903.52495179</v>
      </c>
      <c r="G166" s="42">
        <f>IF(I165&lt;'System Assumptions'!$E$29,0,-(MIN('Hydrological Data Model'!$E$34,'Hydrological Data Model'!$E$33-'System Assumptions'!$E$12))/12)</f>
        <v>-125252183.52495177</v>
      </c>
      <c r="H166" s="42">
        <f t="shared" si="22"/>
        <v>13549607334.625124</v>
      </c>
      <c r="I166" s="106">
        <f>H166/'System Assumptions'!$F$15</f>
        <v>15.252270619126433</v>
      </c>
      <c r="J166" s="42">
        <f>'System Assumptions'!$E$30+'System Assumptions'!$E$28-'Data Model Calculations'!I166</f>
        <v>64.501329380873571</v>
      </c>
      <c r="K166" s="45">
        <f t="shared" si="24"/>
        <v>57.865583080813863</v>
      </c>
      <c r="L166" s="46">
        <f t="shared" si="28"/>
        <v>784055928934155</v>
      </c>
      <c r="M166" s="47">
        <f>D166/1000*('System Assumptions'!$F$20*1000000)</f>
        <v>276691425000.00018</v>
      </c>
      <c r="N166" s="48"/>
      <c r="O166" s="49">
        <f>(F166/1000)*('System Assumptions'!$F$21*1000000)</f>
        <v>6427291623373.3125</v>
      </c>
      <c r="P166" s="49">
        <f t="shared" si="23"/>
        <v>-7247790631816.4424</v>
      </c>
      <c r="Q166" s="48">
        <f t="shared" si="29"/>
        <v>783512121350711.75</v>
      </c>
      <c r="R166" s="53">
        <f t="shared" si="30"/>
        <v>57.825448516762435</v>
      </c>
      <c r="S166" s="52">
        <v>35</v>
      </c>
    </row>
    <row r="167" spans="1:19">
      <c r="A167" s="3">
        <f t="shared" si="25"/>
        <v>14</v>
      </c>
      <c r="B167" s="3">
        <f t="shared" si="26"/>
        <v>165</v>
      </c>
      <c r="C167" s="40">
        <f t="shared" si="27"/>
        <v>13549607334.625124</v>
      </c>
      <c r="D167" s="41">
        <f>'System Assumptions'!$E$11/12</f>
        <v>75242280</v>
      </c>
      <c r="E167" s="41">
        <f>-'System Assumptions'!$E$10/12</f>
        <v>-133627000</v>
      </c>
      <c r="F167" s="41">
        <f>IF(I166&lt;'System Assumptions'!$E$29,'Hydrological Data Model'!$E$33/12,'Hydrological Data Model'!$E$33/12)</f>
        <v>183636903.52495179</v>
      </c>
      <c r="G167" s="42">
        <f>IF(I166&lt;'System Assumptions'!$E$29,0,-(MIN('Hydrological Data Model'!$E$34,'Hydrological Data Model'!$E$33-'System Assumptions'!$E$12))/12)</f>
        <v>-125252183.52495177</v>
      </c>
      <c r="H167" s="42">
        <f t="shared" si="22"/>
        <v>13549607334.625124</v>
      </c>
      <c r="I167" s="106">
        <f>H167/'System Assumptions'!$F$15</f>
        <v>15.252270619126433</v>
      </c>
      <c r="J167" s="42">
        <f>'System Assumptions'!$E$30+'System Assumptions'!$E$28-'Data Model Calculations'!I167</f>
        <v>64.501329380873571</v>
      </c>
      <c r="K167" s="45">
        <f t="shared" si="24"/>
        <v>57.825448516762435</v>
      </c>
      <c r="L167" s="46">
        <f t="shared" si="28"/>
        <v>783512121350711.75</v>
      </c>
      <c r="M167" s="47">
        <f>D167/1000*('System Assumptions'!$F$20*1000000)</f>
        <v>276691425000.00018</v>
      </c>
      <c r="N167" s="48"/>
      <c r="O167" s="49">
        <f>(F167/1000)*('System Assumptions'!$F$21*1000000)</f>
        <v>6427291623373.3125</v>
      </c>
      <c r="P167" s="49">
        <f t="shared" si="23"/>
        <v>-7242763690034.1777</v>
      </c>
      <c r="Q167" s="48">
        <f t="shared" si="29"/>
        <v>782973340709050.88</v>
      </c>
      <c r="R167" s="53">
        <f t="shared" si="30"/>
        <v>57.785684955475752</v>
      </c>
      <c r="S167" s="52">
        <v>35</v>
      </c>
    </row>
    <row r="168" spans="1:19">
      <c r="A168" s="3">
        <f t="shared" si="25"/>
        <v>14</v>
      </c>
      <c r="B168" s="3">
        <f t="shared" si="26"/>
        <v>166</v>
      </c>
      <c r="C168" s="40">
        <f t="shared" si="27"/>
        <v>13549607334.625124</v>
      </c>
      <c r="D168" s="41">
        <f>'System Assumptions'!$E$11/12</f>
        <v>75242280</v>
      </c>
      <c r="E168" s="41">
        <f>-'System Assumptions'!$E$10/12</f>
        <v>-133627000</v>
      </c>
      <c r="F168" s="41">
        <f>IF(I167&lt;'System Assumptions'!$E$29,'Hydrological Data Model'!$E$33/12,'Hydrological Data Model'!$E$33/12)</f>
        <v>183636903.52495179</v>
      </c>
      <c r="G168" s="42">
        <f>IF(I167&lt;'System Assumptions'!$E$29,0,-(MIN('Hydrological Data Model'!$E$34,'Hydrological Data Model'!$E$33-'System Assumptions'!$E$12))/12)</f>
        <v>-125252183.52495177</v>
      </c>
      <c r="H168" s="42">
        <f t="shared" si="22"/>
        <v>13549607334.625124</v>
      </c>
      <c r="I168" s="106">
        <f>H168/'System Assumptions'!$F$15</f>
        <v>15.252270619126433</v>
      </c>
      <c r="J168" s="42">
        <f>'System Assumptions'!$E$30+'System Assumptions'!$E$28-'Data Model Calculations'!I168</f>
        <v>64.501329380873571</v>
      </c>
      <c r="K168" s="45">
        <f t="shared" si="24"/>
        <v>57.785684955475752</v>
      </c>
      <c r="L168" s="46">
        <f t="shared" si="28"/>
        <v>782973340709050.88</v>
      </c>
      <c r="M168" s="47">
        <f>D168/1000*('System Assumptions'!$F$20*1000000)</f>
        <v>276691425000.00018</v>
      </c>
      <c r="N168" s="48"/>
      <c r="O168" s="49">
        <f>(F168/1000)*('System Assumptions'!$F$21*1000000)</f>
        <v>6427291623373.3125</v>
      </c>
      <c r="P168" s="49">
        <f t="shared" si="23"/>
        <v>-7237783217158.293</v>
      </c>
      <c r="Q168" s="48">
        <f t="shared" si="29"/>
        <v>782439540540266</v>
      </c>
      <c r="R168" s="53">
        <f t="shared" si="30"/>
        <v>57.746288967414841</v>
      </c>
      <c r="S168" s="52">
        <v>35</v>
      </c>
    </row>
    <row r="169" spans="1:19">
      <c r="A169" s="3">
        <f t="shared" si="25"/>
        <v>14</v>
      </c>
      <c r="B169" s="3">
        <f t="shared" si="26"/>
        <v>167</v>
      </c>
      <c r="C169" s="40">
        <f t="shared" si="27"/>
        <v>13549607334.625124</v>
      </c>
      <c r="D169" s="41">
        <f>'System Assumptions'!$E$11/12</f>
        <v>75242280</v>
      </c>
      <c r="E169" s="41">
        <f>-'System Assumptions'!$E$10/12</f>
        <v>-133627000</v>
      </c>
      <c r="F169" s="41">
        <f>IF(I168&lt;'System Assumptions'!$E$29,'Hydrological Data Model'!$E$33/12,'Hydrological Data Model'!$E$33/12)</f>
        <v>183636903.52495179</v>
      </c>
      <c r="G169" s="42">
        <f>IF(I168&lt;'System Assumptions'!$E$29,0,-(MIN('Hydrological Data Model'!$E$34,'Hydrological Data Model'!$E$33-'System Assumptions'!$E$12))/12)</f>
        <v>-125252183.52495177</v>
      </c>
      <c r="H169" s="42">
        <f t="shared" si="22"/>
        <v>13549607334.625124</v>
      </c>
      <c r="I169" s="106">
        <f>H169/'System Assumptions'!$F$15</f>
        <v>15.252270619126433</v>
      </c>
      <c r="J169" s="42">
        <f>'System Assumptions'!$E$30+'System Assumptions'!$E$28-'Data Model Calculations'!I169</f>
        <v>64.501329380873571</v>
      </c>
      <c r="K169" s="45">
        <f t="shared" si="24"/>
        <v>57.746288967414841</v>
      </c>
      <c r="L169" s="46">
        <f t="shared" si="28"/>
        <v>782439540540266</v>
      </c>
      <c r="M169" s="47">
        <f>D169/1000*('System Assumptions'!$F$20*1000000)</f>
        <v>276691425000.00018</v>
      </c>
      <c r="N169" s="48"/>
      <c r="O169" s="49">
        <f>(F169/1000)*('System Assumptions'!$F$21*1000000)</f>
        <v>6427291623373.3125</v>
      </c>
      <c r="P169" s="49">
        <f t="shared" si="23"/>
        <v>-7232848783631.541</v>
      </c>
      <c r="Q169" s="48">
        <f t="shared" si="29"/>
        <v>781910674805007.75</v>
      </c>
      <c r="R169" s="53">
        <f t="shared" si="30"/>
        <v>57.707257154743282</v>
      </c>
      <c r="S169" s="52">
        <v>35</v>
      </c>
    </row>
    <row r="170" spans="1:19">
      <c r="A170" s="3">
        <f t="shared" si="25"/>
        <v>14</v>
      </c>
      <c r="B170" s="3">
        <f t="shared" si="26"/>
        <v>168</v>
      </c>
      <c r="C170" s="40">
        <f t="shared" si="27"/>
        <v>13549607334.625124</v>
      </c>
      <c r="D170" s="41">
        <f>'System Assumptions'!$E$11/12</f>
        <v>75242280</v>
      </c>
      <c r="E170" s="41">
        <f>-'System Assumptions'!$E$10/12</f>
        <v>-133627000</v>
      </c>
      <c r="F170" s="41">
        <f>IF(I169&lt;'System Assumptions'!$E$29,'Hydrological Data Model'!$E$33/12,'Hydrological Data Model'!$E$33/12)</f>
        <v>183636903.52495179</v>
      </c>
      <c r="G170" s="42">
        <f>IF(I169&lt;'System Assumptions'!$E$29,0,-(MIN('Hydrological Data Model'!$E$34,'Hydrological Data Model'!$E$33-'System Assumptions'!$E$12))/12)</f>
        <v>-125252183.52495177</v>
      </c>
      <c r="H170" s="42">
        <f t="shared" si="22"/>
        <v>13549607334.625124</v>
      </c>
      <c r="I170" s="106">
        <f>H170/'System Assumptions'!$F$15</f>
        <v>15.252270619126433</v>
      </c>
      <c r="J170" s="42">
        <f>'System Assumptions'!$E$30+'System Assumptions'!$E$28-'Data Model Calculations'!I170</f>
        <v>64.501329380873571</v>
      </c>
      <c r="K170" s="45">
        <f t="shared" si="24"/>
        <v>57.707257154743282</v>
      </c>
      <c r="L170" s="46">
        <f t="shared" si="28"/>
        <v>781910674805007.75</v>
      </c>
      <c r="M170" s="47">
        <f>D170/1000*('System Assumptions'!$F$20*1000000)</f>
        <v>276691425000.00018</v>
      </c>
      <c r="N170" s="48"/>
      <c r="O170" s="49">
        <f>(F170/1000)*('System Assumptions'!$F$21*1000000)</f>
        <v>6427291623373.3125</v>
      </c>
      <c r="P170" s="49">
        <f t="shared" si="23"/>
        <v>-7227959963867.4912</v>
      </c>
      <c r="Q170" s="48">
        <f t="shared" si="29"/>
        <v>781386697889513.5</v>
      </c>
      <c r="R170" s="53">
        <f t="shared" si="30"/>
        <v>57.66858615103417</v>
      </c>
      <c r="S170" s="52">
        <v>35</v>
      </c>
    </row>
    <row r="171" spans="1:19">
      <c r="A171" s="3">
        <f t="shared" si="25"/>
        <v>15</v>
      </c>
      <c r="B171" s="3">
        <f t="shared" si="26"/>
        <v>169</v>
      </c>
      <c r="C171" s="40">
        <f t="shared" si="27"/>
        <v>13549607334.625124</v>
      </c>
      <c r="D171" s="41">
        <f>'System Assumptions'!$E$11/12</f>
        <v>75242280</v>
      </c>
      <c r="E171" s="41">
        <f>-'System Assumptions'!$E$10/12</f>
        <v>-133627000</v>
      </c>
      <c r="F171" s="41">
        <f>IF(I170&lt;'System Assumptions'!$E$29,'Hydrological Data Model'!$E$33/12,'Hydrological Data Model'!$E$33/12)</f>
        <v>183636903.52495179</v>
      </c>
      <c r="G171" s="42">
        <f>IF(I170&lt;'System Assumptions'!$E$29,0,-(MIN('Hydrological Data Model'!$E$34,'Hydrological Data Model'!$E$33-'System Assumptions'!$E$12))/12)</f>
        <v>-125252183.52495177</v>
      </c>
      <c r="H171" s="42">
        <f t="shared" si="22"/>
        <v>13549607334.625124</v>
      </c>
      <c r="I171" s="106">
        <f>H171/'System Assumptions'!$F$15</f>
        <v>15.252270619126433</v>
      </c>
      <c r="J171" s="42">
        <f>'System Assumptions'!$E$30+'System Assumptions'!$E$28-'Data Model Calculations'!I171</f>
        <v>64.501329380873571</v>
      </c>
      <c r="K171" s="45">
        <f t="shared" si="24"/>
        <v>57.66858615103417</v>
      </c>
      <c r="L171" s="46">
        <f t="shared" si="28"/>
        <v>781386697889513.5</v>
      </c>
      <c r="M171" s="47">
        <f>D171/1000*('System Assumptions'!$F$20*1000000)</f>
        <v>276691425000.00018</v>
      </c>
      <c r="N171" s="48"/>
      <c r="O171" s="49">
        <f>(F171/1000)*('System Assumptions'!$F$21*1000000)</f>
        <v>6427291623373.3125</v>
      </c>
      <c r="P171" s="49">
        <f t="shared" si="23"/>
        <v>-7223116336213.8242</v>
      </c>
      <c r="Q171" s="48">
        <f t="shared" si="29"/>
        <v>780867564601672.88</v>
      </c>
      <c r="R171" s="53">
        <f t="shared" si="30"/>
        <v>57.63027262097976</v>
      </c>
      <c r="S171" s="52">
        <v>35</v>
      </c>
    </row>
    <row r="172" spans="1:19">
      <c r="A172" s="3">
        <f t="shared" si="25"/>
        <v>15</v>
      </c>
      <c r="B172" s="3">
        <f t="shared" si="26"/>
        <v>170</v>
      </c>
      <c r="C172" s="40">
        <f t="shared" si="27"/>
        <v>13549607334.625124</v>
      </c>
      <c r="D172" s="41">
        <f>'System Assumptions'!$E$11/12</f>
        <v>75242280</v>
      </c>
      <c r="E172" s="41">
        <f>-'System Assumptions'!$E$10/12</f>
        <v>-133627000</v>
      </c>
      <c r="F172" s="41">
        <f>IF(I171&lt;'System Assumptions'!$E$29,'Hydrological Data Model'!$E$33/12,'Hydrological Data Model'!$E$33/12)</f>
        <v>183636903.52495179</v>
      </c>
      <c r="G172" s="42">
        <f>IF(I171&lt;'System Assumptions'!$E$29,0,-(MIN('Hydrological Data Model'!$E$34,'Hydrological Data Model'!$E$33-'System Assumptions'!$E$12))/12)</f>
        <v>-125252183.52495177</v>
      </c>
      <c r="H172" s="42">
        <f t="shared" si="22"/>
        <v>13549607334.625124</v>
      </c>
      <c r="I172" s="106">
        <f>H172/'System Assumptions'!$F$15</f>
        <v>15.252270619126433</v>
      </c>
      <c r="J172" s="42">
        <f>'System Assumptions'!$E$30+'System Assumptions'!$E$28-'Data Model Calculations'!I172</f>
        <v>64.501329380873571</v>
      </c>
      <c r="K172" s="45">
        <f t="shared" si="24"/>
        <v>57.63027262097976</v>
      </c>
      <c r="L172" s="46">
        <f t="shared" si="28"/>
        <v>780867564601672.88</v>
      </c>
      <c r="M172" s="47">
        <f>D172/1000*('System Assumptions'!$F$20*1000000)</f>
        <v>276691425000.00018</v>
      </c>
      <c r="N172" s="48"/>
      <c r="O172" s="49">
        <f>(F172/1000)*('System Assumptions'!$F$21*1000000)</f>
        <v>6427291623373.3125</v>
      </c>
      <c r="P172" s="49">
        <f t="shared" si="23"/>
        <v>-7218317482915.96</v>
      </c>
      <c r="Q172" s="48">
        <f t="shared" si="29"/>
        <v>780353230167130.25</v>
      </c>
      <c r="R172" s="53">
        <f t="shared" si="30"/>
        <v>57.592313260103801</v>
      </c>
      <c r="S172" s="52">
        <v>35</v>
      </c>
    </row>
    <row r="173" spans="1:19">
      <c r="A173" s="3">
        <f t="shared" si="25"/>
        <v>15</v>
      </c>
      <c r="B173" s="3">
        <f t="shared" si="26"/>
        <v>171</v>
      </c>
      <c r="C173" s="40">
        <f t="shared" si="27"/>
        <v>13549607334.625124</v>
      </c>
      <c r="D173" s="41">
        <f>'System Assumptions'!$E$11/12</f>
        <v>75242280</v>
      </c>
      <c r="E173" s="41">
        <f>-'System Assumptions'!$E$10/12</f>
        <v>-133627000</v>
      </c>
      <c r="F173" s="41">
        <f>IF(I172&lt;'System Assumptions'!$E$29,'Hydrological Data Model'!$E$33/12,'Hydrological Data Model'!$E$33/12)</f>
        <v>183636903.52495179</v>
      </c>
      <c r="G173" s="42">
        <f>IF(I172&lt;'System Assumptions'!$E$29,0,-(MIN('Hydrological Data Model'!$E$34,'Hydrological Data Model'!$E$33-'System Assumptions'!$E$12))/12)</f>
        <v>-125252183.52495177</v>
      </c>
      <c r="H173" s="42">
        <f t="shared" si="22"/>
        <v>13549607334.625124</v>
      </c>
      <c r="I173" s="106">
        <f>H173/'System Assumptions'!$F$15</f>
        <v>15.252270619126433</v>
      </c>
      <c r="J173" s="42">
        <f>'System Assumptions'!$E$30+'System Assumptions'!$E$28-'Data Model Calculations'!I173</f>
        <v>64.501329380873571</v>
      </c>
      <c r="K173" s="45">
        <f t="shared" si="24"/>
        <v>57.592313260103801</v>
      </c>
      <c r="L173" s="46">
        <f t="shared" si="28"/>
        <v>780353230167130.25</v>
      </c>
      <c r="M173" s="47">
        <f>D173/1000*('System Assumptions'!$F$20*1000000)</f>
        <v>276691425000.00018</v>
      </c>
      <c r="N173" s="48"/>
      <c r="O173" s="49">
        <f>(F173/1000)*('System Assumptions'!$F$21*1000000)</f>
        <v>6427291623373.3125</v>
      </c>
      <c r="P173" s="49">
        <f t="shared" si="23"/>
        <v>-7213562990081.0342</v>
      </c>
      <c r="Q173" s="48">
        <f t="shared" si="29"/>
        <v>779843650225422.5</v>
      </c>
      <c r="R173" s="53">
        <f t="shared" si="30"/>
        <v>57.554704794476493</v>
      </c>
      <c r="S173" s="52">
        <v>35</v>
      </c>
    </row>
    <row r="174" spans="1:19">
      <c r="A174" s="3">
        <f t="shared" si="25"/>
        <v>15</v>
      </c>
      <c r="B174" s="3">
        <f t="shared" si="26"/>
        <v>172</v>
      </c>
      <c r="C174" s="40">
        <f t="shared" si="27"/>
        <v>13549607334.625124</v>
      </c>
      <c r="D174" s="41">
        <f>'System Assumptions'!$E$11/12</f>
        <v>75242280</v>
      </c>
      <c r="E174" s="41">
        <f>-'System Assumptions'!$E$10/12</f>
        <v>-133627000</v>
      </c>
      <c r="F174" s="41">
        <f>IF(I173&lt;'System Assumptions'!$E$29,'Hydrological Data Model'!$E$33/12,'Hydrological Data Model'!$E$33/12)</f>
        <v>183636903.52495179</v>
      </c>
      <c r="G174" s="42">
        <f>IF(I173&lt;'System Assumptions'!$E$29,0,-(MIN('Hydrological Data Model'!$E$34,'Hydrological Data Model'!$E$33-'System Assumptions'!$E$12))/12)</f>
        <v>-125252183.52495177</v>
      </c>
      <c r="H174" s="42">
        <f t="shared" si="22"/>
        <v>13549607334.625124</v>
      </c>
      <c r="I174" s="106">
        <f>H174/'System Assumptions'!$F$15</f>
        <v>15.252270619126433</v>
      </c>
      <c r="J174" s="42">
        <f>'System Assumptions'!$E$30+'System Assumptions'!$E$28-'Data Model Calculations'!I174</f>
        <v>64.501329380873571</v>
      </c>
      <c r="K174" s="45">
        <f t="shared" si="24"/>
        <v>57.554704794476493</v>
      </c>
      <c r="L174" s="46">
        <f t="shared" si="28"/>
        <v>779843650225422.5</v>
      </c>
      <c r="M174" s="47">
        <f>D174/1000*('System Assumptions'!$F$20*1000000)</f>
        <v>276691425000.00018</v>
      </c>
      <c r="N174" s="48"/>
      <c r="O174" s="49">
        <f>(F174/1000)*('System Assumptions'!$F$21*1000000)</f>
        <v>6427291623373.3125</v>
      </c>
      <c r="P174" s="49">
        <f t="shared" si="23"/>
        <v>-7208852447642.1914</v>
      </c>
      <c r="Q174" s="48">
        <f t="shared" si="29"/>
        <v>779338780826153.5</v>
      </c>
      <c r="R174" s="53">
        <f t="shared" si="30"/>
        <v>57.517443980432176</v>
      </c>
      <c r="S174" s="52">
        <v>35</v>
      </c>
    </row>
    <row r="175" spans="1:19">
      <c r="A175" s="3">
        <f t="shared" si="25"/>
        <v>15</v>
      </c>
      <c r="B175" s="3">
        <f t="shared" si="26"/>
        <v>173</v>
      </c>
      <c r="C175" s="40">
        <f t="shared" si="27"/>
        <v>13549607334.625124</v>
      </c>
      <c r="D175" s="41">
        <f>'System Assumptions'!$E$11/12</f>
        <v>75242280</v>
      </c>
      <c r="E175" s="41">
        <f>-'System Assumptions'!$E$10/12</f>
        <v>-133627000</v>
      </c>
      <c r="F175" s="41">
        <f>IF(I174&lt;'System Assumptions'!$E$29,'Hydrological Data Model'!$E$33/12,'Hydrological Data Model'!$E$33/12)</f>
        <v>183636903.52495179</v>
      </c>
      <c r="G175" s="42">
        <f>IF(I174&lt;'System Assumptions'!$E$29,0,-(MIN('Hydrological Data Model'!$E$34,'Hydrological Data Model'!$E$33-'System Assumptions'!$E$12))/12)</f>
        <v>-125252183.52495177</v>
      </c>
      <c r="H175" s="42">
        <f t="shared" si="22"/>
        <v>13549607334.625124</v>
      </c>
      <c r="I175" s="106">
        <f>H175/'System Assumptions'!$F$15</f>
        <v>15.252270619126433</v>
      </c>
      <c r="J175" s="42">
        <f>'System Assumptions'!$E$30+'System Assumptions'!$E$28-'Data Model Calculations'!I175</f>
        <v>64.501329380873571</v>
      </c>
      <c r="K175" s="45">
        <f t="shared" si="24"/>
        <v>57.517443980432176</v>
      </c>
      <c r="L175" s="46">
        <f t="shared" si="28"/>
        <v>779338780826153.5</v>
      </c>
      <c r="M175" s="47">
        <f>D175/1000*('System Assumptions'!$F$20*1000000)</f>
        <v>276691425000.00018</v>
      </c>
      <c r="N175" s="48"/>
      <c r="O175" s="49">
        <f>(F175/1000)*('System Assumptions'!$F$21*1000000)</f>
        <v>6427291623373.3125</v>
      </c>
      <c r="P175" s="49">
        <f t="shared" si="23"/>
        <v>-7204185449323.2227</v>
      </c>
      <c r="Q175" s="48">
        <f t="shared" si="29"/>
        <v>778838578425203.5</v>
      </c>
      <c r="R175" s="53">
        <f t="shared" si="30"/>
        <v>57.480527604289541</v>
      </c>
      <c r="S175" s="52">
        <v>35</v>
      </c>
    </row>
    <row r="176" spans="1:19">
      <c r="A176" s="3">
        <f t="shared" si="25"/>
        <v>15</v>
      </c>
      <c r="B176" s="3">
        <f t="shared" si="26"/>
        <v>174</v>
      </c>
      <c r="C176" s="40">
        <f t="shared" si="27"/>
        <v>13549607334.625124</v>
      </c>
      <c r="D176" s="41">
        <f>'System Assumptions'!$E$11/12</f>
        <v>75242280</v>
      </c>
      <c r="E176" s="41">
        <f>-'System Assumptions'!$E$10/12</f>
        <v>-133627000</v>
      </c>
      <c r="F176" s="41">
        <f>IF(I175&lt;'System Assumptions'!$E$29,'Hydrological Data Model'!$E$33/12,'Hydrological Data Model'!$E$33/12)</f>
        <v>183636903.52495179</v>
      </c>
      <c r="G176" s="42">
        <f>IF(I175&lt;'System Assumptions'!$E$29,0,-(MIN('Hydrological Data Model'!$E$34,'Hydrological Data Model'!$E$33-'System Assumptions'!$E$12))/12)</f>
        <v>-125252183.52495177</v>
      </c>
      <c r="H176" s="42">
        <f t="shared" si="22"/>
        <v>13549607334.625124</v>
      </c>
      <c r="I176" s="106">
        <f>H176/'System Assumptions'!$F$15</f>
        <v>15.252270619126433</v>
      </c>
      <c r="J176" s="42">
        <f>'System Assumptions'!$E$30+'System Assumptions'!$E$28-'Data Model Calculations'!I176</f>
        <v>64.501329380873571</v>
      </c>
      <c r="K176" s="45">
        <f t="shared" si="24"/>
        <v>57.480527604289541</v>
      </c>
      <c r="L176" s="46">
        <f t="shared" si="28"/>
        <v>778838578425203.5</v>
      </c>
      <c r="M176" s="47">
        <f>D176/1000*('System Assumptions'!$F$20*1000000)</f>
        <v>276691425000.00018</v>
      </c>
      <c r="N176" s="48"/>
      <c r="O176" s="49">
        <f>(F176/1000)*('System Assumptions'!$F$21*1000000)</f>
        <v>6427291623373.3125</v>
      </c>
      <c r="P176" s="49">
        <f t="shared" si="23"/>
        <v>-7199561592603.5303</v>
      </c>
      <c r="Q176" s="48">
        <f t="shared" si="29"/>
        <v>778342999880973.25</v>
      </c>
      <c r="R176" s="53">
        <f t="shared" si="30"/>
        <v>57.443952482074465</v>
      </c>
      <c r="S176" s="52">
        <v>35</v>
      </c>
    </row>
    <row r="177" spans="1:19">
      <c r="A177" s="3">
        <f t="shared" si="25"/>
        <v>15</v>
      </c>
      <c r="B177" s="3">
        <f t="shared" si="26"/>
        <v>175</v>
      </c>
      <c r="C177" s="40">
        <f t="shared" si="27"/>
        <v>13549607334.625124</v>
      </c>
      <c r="D177" s="41">
        <f>'System Assumptions'!$E$11/12</f>
        <v>75242280</v>
      </c>
      <c r="E177" s="41">
        <f>-'System Assumptions'!$E$10/12</f>
        <v>-133627000</v>
      </c>
      <c r="F177" s="41">
        <f>IF(I176&lt;'System Assumptions'!$E$29,'Hydrological Data Model'!$E$33/12,'Hydrological Data Model'!$E$33/12)</f>
        <v>183636903.52495179</v>
      </c>
      <c r="G177" s="42">
        <f>IF(I176&lt;'System Assumptions'!$E$29,0,-(MIN('Hydrological Data Model'!$E$34,'Hydrological Data Model'!$E$33-'System Assumptions'!$E$12))/12)</f>
        <v>-125252183.52495177</v>
      </c>
      <c r="H177" s="42">
        <f t="shared" si="22"/>
        <v>13549607334.625124</v>
      </c>
      <c r="I177" s="106">
        <f>H177/'System Assumptions'!$F$15</f>
        <v>15.252270619126433</v>
      </c>
      <c r="J177" s="42">
        <f>'System Assumptions'!$E$30+'System Assumptions'!$E$28-'Data Model Calculations'!I177</f>
        <v>64.501329380873571</v>
      </c>
      <c r="K177" s="45">
        <f t="shared" si="24"/>
        <v>57.443952482074465</v>
      </c>
      <c r="L177" s="46">
        <f t="shared" si="28"/>
        <v>778342999880973.25</v>
      </c>
      <c r="M177" s="47">
        <f>D177/1000*('System Assumptions'!$F$20*1000000)</f>
        <v>276691425000.00018</v>
      </c>
      <c r="N177" s="48"/>
      <c r="O177" s="49">
        <f>(F177/1000)*('System Assumptions'!$F$21*1000000)</f>
        <v>6427291623373.3125</v>
      </c>
      <c r="P177" s="49">
        <f t="shared" si="23"/>
        <v>-7194980478683.3994</v>
      </c>
      <c r="Q177" s="48">
        <f t="shared" si="29"/>
        <v>777852002450663.13</v>
      </c>
      <c r="R177" s="53">
        <f t="shared" si="30"/>
        <v>57.407715459245367</v>
      </c>
      <c r="S177" s="52">
        <v>35</v>
      </c>
    </row>
    <row r="178" spans="1:19">
      <c r="A178" s="3">
        <f t="shared" si="25"/>
        <v>15</v>
      </c>
      <c r="B178" s="3">
        <f t="shared" si="26"/>
        <v>176</v>
      </c>
      <c r="C178" s="40">
        <f t="shared" si="27"/>
        <v>13549607334.625124</v>
      </c>
      <c r="D178" s="41">
        <f>'System Assumptions'!$E$11/12</f>
        <v>75242280</v>
      </c>
      <c r="E178" s="41">
        <f>-'System Assumptions'!$E$10/12</f>
        <v>-133627000</v>
      </c>
      <c r="F178" s="41">
        <f>IF(I177&lt;'System Assumptions'!$E$29,'Hydrological Data Model'!$E$33/12,'Hydrological Data Model'!$E$33/12)</f>
        <v>183636903.52495179</v>
      </c>
      <c r="G178" s="42">
        <f>IF(I177&lt;'System Assumptions'!$E$29,0,-(MIN('Hydrological Data Model'!$E$34,'Hydrological Data Model'!$E$33-'System Assumptions'!$E$12))/12)</f>
        <v>-125252183.52495177</v>
      </c>
      <c r="H178" s="42">
        <f t="shared" si="22"/>
        <v>13549607334.625124</v>
      </c>
      <c r="I178" s="106">
        <f>H178/'System Assumptions'!$F$15</f>
        <v>15.252270619126433</v>
      </c>
      <c r="J178" s="42">
        <f>'System Assumptions'!$E$30+'System Assumptions'!$E$28-'Data Model Calculations'!I178</f>
        <v>64.501329380873571</v>
      </c>
      <c r="K178" s="45">
        <f t="shared" si="24"/>
        <v>57.407715459245367</v>
      </c>
      <c r="L178" s="46">
        <f t="shared" si="28"/>
        <v>777852002450663.13</v>
      </c>
      <c r="M178" s="47">
        <f>D178/1000*('System Assumptions'!$F$20*1000000)</f>
        <v>276691425000.00018</v>
      </c>
      <c r="N178" s="48"/>
      <c r="O178" s="49">
        <f>(F178/1000)*('System Assumptions'!$F$21*1000000)</f>
        <v>6427291623373.3125</v>
      </c>
      <c r="P178" s="49">
        <f t="shared" si="23"/>
        <v>-7190441712449.6113</v>
      </c>
      <c r="Q178" s="48">
        <f t="shared" si="29"/>
        <v>777365543786586.88</v>
      </c>
      <c r="R178" s="53">
        <f t="shared" si="30"/>
        <v>57.371813410421183</v>
      </c>
      <c r="S178" s="52">
        <v>35</v>
      </c>
    </row>
    <row r="179" spans="1:19">
      <c r="A179" s="3">
        <f t="shared" si="25"/>
        <v>15</v>
      </c>
      <c r="B179" s="3">
        <f t="shared" si="26"/>
        <v>177</v>
      </c>
      <c r="C179" s="40">
        <f t="shared" si="27"/>
        <v>13549607334.625124</v>
      </c>
      <c r="D179" s="41">
        <f>'System Assumptions'!$E$11/12</f>
        <v>75242280</v>
      </c>
      <c r="E179" s="41">
        <f>-'System Assumptions'!$E$10/12</f>
        <v>-133627000</v>
      </c>
      <c r="F179" s="41">
        <f>IF(I178&lt;'System Assumptions'!$E$29,'Hydrological Data Model'!$E$33/12,'Hydrological Data Model'!$E$33/12)</f>
        <v>183636903.52495179</v>
      </c>
      <c r="G179" s="42">
        <f>IF(I178&lt;'System Assumptions'!$E$29,0,-(MIN('Hydrological Data Model'!$E$34,'Hydrological Data Model'!$E$33-'System Assumptions'!$E$12))/12)</f>
        <v>-125252183.52495177</v>
      </c>
      <c r="H179" s="42">
        <f t="shared" si="22"/>
        <v>13549607334.625124</v>
      </c>
      <c r="I179" s="106">
        <f>H179/'System Assumptions'!$F$15</f>
        <v>15.252270619126433</v>
      </c>
      <c r="J179" s="42">
        <f>'System Assumptions'!$E$30+'System Assumptions'!$E$28-'Data Model Calculations'!I179</f>
        <v>64.501329380873571</v>
      </c>
      <c r="K179" s="45">
        <f t="shared" si="24"/>
        <v>57.371813410421183</v>
      </c>
      <c r="L179" s="46">
        <f t="shared" si="28"/>
        <v>777365543786586.88</v>
      </c>
      <c r="M179" s="47">
        <f>D179/1000*('System Assumptions'!$F$20*1000000)</f>
        <v>276691425000.00018</v>
      </c>
      <c r="N179" s="48"/>
      <c r="O179" s="49">
        <f>(F179/1000)*('System Assumptions'!$F$21*1000000)</f>
        <v>6427291623373.3125</v>
      </c>
      <c r="P179" s="49">
        <f t="shared" si="23"/>
        <v>-7185944902441.3633</v>
      </c>
      <c r="Q179" s="48">
        <f t="shared" si="29"/>
        <v>776883581932518.88</v>
      </c>
      <c r="R179" s="53">
        <f t="shared" si="30"/>
        <v>57.336243239111759</v>
      </c>
      <c r="S179" s="52">
        <v>35</v>
      </c>
    </row>
    <row r="180" spans="1:19">
      <c r="A180" s="3">
        <f t="shared" si="25"/>
        <v>15</v>
      </c>
      <c r="B180" s="3">
        <f t="shared" si="26"/>
        <v>178</v>
      </c>
      <c r="C180" s="40">
        <f t="shared" si="27"/>
        <v>13549607334.625124</v>
      </c>
      <c r="D180" s="41">
        <f>'System Assumptions'!$E$11/12</f>
        <v>75242280</v>
      </c>
      <c r="E180" s="41">
        <f>-'System Assumptions'!$E$10/12</f>
        <v>-133627000</v>
      </c>
      <c r="F180" s="41">
        <f>IF(I179&lt;'System Assumptions'!$E$29,'Hydrological Data Model'!$E$33/12,'Hydrological Data Model'!$E$33/12)</f>
        <v>183636903.52495179</v>
      </c>
      <c r="G180" s="42">
        <f>IF(I179&lt;'System Assumptions'!$E$29,0,-(MIN('Hydrological Data Model'!$E$34,'Hydrological Data Model'!$E$33-'System Assumptions'!$E$12))/12)</f>
        <v>-125252183.52495177</v>
      </c>
      <c r="H180" s="42">
        <f t="shared" si="22"/>
        <v>13549607334.625124</v>
      </c>
      <c r="I180" s="106">
        <f>H180/'System Assumptions'!$F$15</f>
        <v>15.252270619126433</v>
      </c>
      <c r="J180" s="42">
        <f>'System Assumptions'!$E$30+'System Assumptions'!$E$28-'Data Model Calculations'!I180</f>
        <v>64.501329380873571</v>
      </c>
      <c r="K180" s="45">
        <f t="shared" si="24"/>
        <v>57.336243239111759</v>
      </c>
      <c r="L180" s="46">
        <f t="shared" si="28"/>
        <v>776883581932518.88</v>
      </c>
      <c r="M180" s="47">
        <f>D180/1000*('System Assumptions'!$F$20*1000000)</f>
        <v>276691425000.00018</v>
      </c>
      <c r="N180" s="48"/>
      <c r="O180" s="49">
        <f>(F180/1000)*('System Assumptions'!$F$21*1000000)</f>
        <v>6427291623373.3125</v>
      </c>
      <c r="P180" s="49">
        <f t="shared" si="23"/>
        <v>-7181489660816.501</v>
      </c>
      <c r="Q180" s="48">
        <f t="shared" si="29"/>
        <v>776406075320075.75</v>
      </c>
      <c r="R180" s="53">
        <f t="shared" si="30"/>
        <v>57.30100187745083</v>
      </c>
      <c r="S180" s="52">
        <v>35</v>
      </c>
    </row>
    <row r="181" spans="1:19">
      <c r="A181" s="3">
        <f t="shared" si="25"/>
        <v>15</v>
      </c>
      <c r="B181" s="3">
        <f t="shared" si="26"/>
        <v>179</v>
      </c>
      <c r="C181" s="40">
        <f t="shared" si="27"/>
        <v>13549607334.625124</v>
      </c>
      <c r="D181" s="41">
        <f>'System Assumptions'!$E$11/12</f>
        <v>75242280</v>
      </c>
      <c r="E181" s="41">
        <f>-'System Assumptions'!$E$10/12</f>
        <v>-133627000</v>
      </c>
      <c r="F181" s="41">
        <f>IF(I180&lt;'System Assumptions'!$E$29,'Hydrological Data Model'!$E$33/12,'Hydrological Data Model'!$E$33/12)</f>
        <v>183636903.52495179</v>
      </c>
      <c r="G181" s="42">
        <f>IF(I180&lt;'System Assumptions'!$E$29,0,-(MIN('Hydrological Data Model'!$E$34,'Hydrological Data Model'!$E$33-'System Assumptions'!$E$12))/12)</f>
        <v>-125252183.52495177</v>
      </c>
      <c r="H181" s="42">
        <f t="shared" si="22"/>
        <v>13549607334.625124</v>
      </c>
      <c r="I181" s="106">
        <f>H181/'System Assumptions'!$F$15</f>
        <v>15.252270619126433</v>
      </c>
      <c r="J181" s="42">
        <f>'System Assumptions'!$E$30+'System Assumptions'!$E$28-'Data Model Calculations'!I181</f>
        <v>64.501329380873571</v>
      </c>
      <c r="K181" s="45">
        <f t="shared" si="24"/>
        <v>57.30100187745083</v>
      </c>
      <c r="L181" s="46">
        <f t="shared" si="28"/>
        <v>776406075320075.75</v>
      </c>
      <c r="M181" s="47">
        <f>D181/1000*('System Assumptions'!$F$20*1000000)</f>
        <v>276691425000.00018</v>
      </c>
      <c r="N181" s="48"/>
      <c r="O181" s="49">
        <f>(F181/1000)*('System Assumptions'!$F$21*1000000)</f>
        <v>6427291623373.3125</v>
      </c>
      <c r="P181" s="49">
        <f t="shared" si="23"/>
        <v>-7177075603318.0771</v>
      </c>
      <c r="Q181" s="48">
        <f t="shared" si="29"/>
        <v>775932982765130.88</v>
      </c>
      <c r="R181" s="53">
        <f t="shared" si="30"/>
        <v>57.266086285931365</v>
      </c>
      <c r="S181" s="52">
        <v>35</v>
      </c>
    </row>
    <row r="182" spans="1:19">
      <c r="A182" s="3">
        <f t="shared" si="25"/>
        <v>15</v>
      </c>
      <c r="B182" s="3">
        <f t="shared" si="26"/>
        <v>180</v>
      </c>
      <c r="C182" s="40">
        <f t="shared" si="27"/>
        <v>13549607334.625124</v>
      </c>
      <c r="D182" s="41">
        <f>'System Assumptions'!$E$11/12</f>
        <v>75242280</v>
      </c>
      <c r="E182" s="41">
        <f>-'System Assumptions'!$E$10/12</f>
        <v>-133627000</v>
      </c>
      <c r="F182" s="41">
        <f>IF(I181&lt;'System Assumptions'!$E$29,'Hydrological Data Model'!$E$33/12,'Hydrological Data Model'!$E$33/12)</f>
        <v>183636903.52495179</v>
      </c>
      <c r="G182" s="42">
        <f>IF(I181&lt;'System Assumptions'!$E$29,0,-(MIN('Hydrological Data Model'!$E$34,'Hydrological Data Model'!$E$33-'System Assumptions'!$E$12))/12)</f>
        <v>-125252183.52495177</v>
      </c>
      <c r="H182" s="42">
        <f t="shared" si="22"/>
        <v>13549607334.625124</v>
      </c>
      <c r="I182" s="106">
        <f>H182/'System Assumptions'!$F$15</f>
        <v>15.252270619126433</v>
      </c>
      <c r="J182" s="42">
        <f>'System Assumptions'!$E$30+'System Assumptions'!$E$28-'Data Model Calculations'!I182</f>
        <v>64.501329380873571</v>
      </c>
      <c r="K182" s="45">
        <f t="shared" si="24"/>
        <v>57.266086285931365</v>
      </c>
      <c r="L182" s="46">
        <f t="shared" si="28"/>
        <v>775932982765130.88</v>
      </c>
      <c r="M182" s="47">
        <f>D182/1000*('System Assumptions'!$F$20*1000000)</f>
        <v>276691425000.00018</v>
      </c>
      <c r="N182" s="48"/>
      <c r="O182" s="49">
        <f>(F182/1000)*('System Assumptions'!$F$21*1000000)</f>
        <v>6427291623373.3125</v>
      </c>
      <c r="P182" s="49">
        <f t="shared" si="23"/>
        <v>-7172702349241.1992</v>
      </c>
      <c r="Q182" s="48">
        <f t="shared" si="29"/>
        <v>775464263464263</v>
      </c>
      <c r="R182" s="53">
        <f t="shared" si="30"/>
        <v>57.231493453143507</v>
      </c>
      <c r="S182" s="52">
        <v>35</v>
      </c>
    </row>
    <row r="183" spans="1:19">
      <c r="A183" s="3">
        <f t="shared" si="25"/>
        <v>16</v>
      </c>
      <c r="B183" s="3">
        <f t="shared" si="26"/>
        <v>181</v>
      </c>
      <c r="C183" s="40">
        <f t="shared" si="27"/>
        <v>13549607334.625124</v>
      </c>
      <c r="D183" s="41">
        <f>'System Assumptions'!$E$11/12</f>
        <v>75242280</v>
      </c>
      <c r="E183" s="41">
        <f>-'System Assumptions'!$E$10/12</f>
        <v>-133627000</v>
      </c>
      <c r="F183" s="41">
        <f>IF(I182&lt;'System Assumptions'!$E$29,'Hydrological Data Model'!$E$33/12,'Hydrological Data Model'!$E$33/12)</f>
        <v>183636903.52495179</v>
      </c>
      <c r="G183" s="42">
        <f>IF(I182&lt;'System Assumptions'!$E$29,0,-(MIN('Hydrological Data Model'!$E$34,'Hydrological Data Model'!$E$33-'System Assumptions'!$E$12))/12)</f>
        <v>-125252183.52495177</v>
      </c>
      <c r="H183" s="42">
        <f t="shared" si="22"/>
        <v>13549607334.625124</v>
      </c>
      <c r="I183" s="106">
        <f>H183/'System Assumptions'!$F$15</f>
        <v>15.252270619126433</v>
      </c>
      <c r="J183" s="42">
        <f>'System Assumptions'!$E$30+'System Assumptions'!$E$28-'Data Model Calculations'!I183</f>
        <v>64.501329380873571</v>
      </c>
      <c r="K183" s="45">
        <f t="shared" si="24"/>
        <v>57.231493453143507</v>
      </c>
      <c r="L183" s="46">
        <f t="shared" si="28"/>
        <v>775464263464263</v>
      </c>
      <c r="M183" s="47">
        <f>D183/1000*('System Assumptions'!$F$20*1000000)</f>
        <v>276691425000.00018</v>
      </c>
      <c r="N183" s="48"/>
      <c r="O183" s="49">
        <f>(F183/1000)*('System Assumptions'!$F$21*1000000)</f>
        <v>6427291623373.3125</v>
      </c>
      <c r="P183" s="49">
        <f t="shared" si="23"/>
        <v>-7168369521400.2061</v>
      </c>
      <c r="Q183" s="48">
        <f t="shared" si="29"/>
        <v>774999876991236</v>
      </c>
      <c r="R183" s="53">
        <f t="shared" si="30"/>
        <v>57.197220395514719</v>
      </c>
      <c r="S183" s="52">
        <v>35</v>
      </c>
    </row>
    <row r="184" spans="1:19">
      <c r="A184" s="3">
        <f t="shared" si="25"/>
        <v>16</v>
      </c>
      <c r="B184" s="3">
        <f t="shared" si="26"/>
        <v>182</v>
      </c>
      <c r="C184" s="40">
        <f t="shared" si="27"/>
        <v>13549607334.625124</v>
      </c>
      <c r="D184" s="41">
        <f>'System Assumptions'!$E$11/12</f>
        <v>75242280</v>
      </c>
      <c r="E184" s="41">
        <f>-'System Assumptions'!$E$10/12</f>
        <v>-133627000</v>
      </c>
      <c r="F184" s="41">
        <f>IF(I183&lt;'System Assumptions'!$E$29,'Hydrological Data Model'!$E$33/12,'Hydrological Data Model'!$E$33/12)</f>
        <v>183636903.52495179</v>
      </c>
      <c r="G184" s="42">
        <f>IF(I183&lt;'System Assumptions'!$E$29,0,-(MIN('Hydrological Data Model'!$E$34,'Hydrological Data Model'!$E$33-'System Assumptions'!$E$12))/12)</f>
        <v>-125252183.52495177</v>
      </c>
      <c r="H184" s="42">
        <f t="shared" si="22"/>
        <v>13549607334.625124</v>
      </c>
      <c r="I184" s="106">
        <f>H184/'System Assumptions'!$F$15</f>
        <v>15.252270619126433</v>
      </c>
      <c r="J184" s="42">
        <f>'System Assumptions'!$E$30+'System Assumptions'!$E$28-'Data Model Calculations'!I184</f>
        <v>64.501329380873571</v>
      </c>
      <c r="K184" s="45">
        <f t="shared" si="24"/>
        <v>57.197220395514719</v>
      </c>
      <c r="L184" s="46">
        <f t="shared" si="28"/>
        <v>774999876991236</v>
      </c>
      <c r="M184" s="47">
        <f>D184/1000*('System Assumptions'!$F$20*1000000)</f>
        <v>276691425000.00018</v>
      </c>
      <c r="N184" s="48"/>
      <c r="O184" s="49">
        <f>(F184/1000)*('System Assumptions'!$F$21*1000000)</f>
        <v>6427291623373.3125</v>
      </c>
      <c r="P184" s="49">
        <f t="shared" si="23"/>
        <v>-7164076746096.124</v>
      </c>
      <c r="Q184" s="48">
        <f t="shared" si="29"/>
        <v>774539783293513.13</v>
      </c>
      <c r="R184" s="53">
        <f t="shared" si="30"/>
        <v>57.163264157052581</v>
      </c>
      <c r="S184" s="52">
        <v>35</v>
      </c>
    </row>
    <row r="185" spans="1:19">
      <c r="A185" s="3">
        <f t="shared" si="25"/>
        <v>16</v>
      </c>
      <c r="B185" s="3">
        <f t="shared" si="26"/>
        <v>183</v>
      </c>
      <c r="C185" s="40">
        <f t="shared" si="27"/>
        <v>13549607334.625124</v>
      </c>
      <c r="D185" s="41">
        <f>'System Assumptions'!$E$11/12</f>
        <v>75242280</v>
      </c>
      <c r="E185" s="41">
        <f>-'System Assumptions'!$E$10/12</f>
        <v>-133627000</v>
      </c>
      <c r="F185" s="41">
        <f>IF(I184&lt;'System Assumptions'!$E$29,'Hydrological Data Model'!$E$33/12,'Hydrological Data Model'!$E$33/12)</f>
        <v>183636903.52495179</v>
      </c>
      <c r="G185" s="42">
        <f>IF(I184&lt;'System Assumptions'!$E$29,0,-(MIN('Hydrological Data Model'!$E$34,'Hydrological Data Model'!$E$33-'System Assumptions'!$E$12))/12)</f>
        <v>-125252183.52495177</v>
      </c>
      <c r="H185" s="42">
        <f t="shared" si="22"/>
        <v>13549607334.625124</v>
      </c>
      <c r="I185" s="106">
        <f>H185/'System Assumptions'!$F$15</f>
        <v>15.252270619126433</v>
      </c>
      <c r="J185" s="42">
        <f>'System Assumptions'!$E$30+'System Assumptions'!$E$28-'Data Model Calculations'!I185</f>
        <v>64.501329380873571</v>
      </c>
      <c r="K185" s="45">
        <f t="shared" si="24"/>
        <v>57.163264157052581</v>
      </c>
      <c r="L185" s="46">
        <f t="shared" si="28"/>
        <v>774539783293513.13</v>
      </c>
      <c r="M185" s="47">
        <f>D185/1000*('System Assumptions'!$F$20*1000000)</f>
        <v>276691425000.00018</v>
      </c>
      <c r="N185" s="48"/>
      <c r="O185" s="49">
        <f>(F185/1000)*('System Assumptions'!$F$21*1000000)</f>
        <v>6427291623373.3125</v>
      </c>
      <c r="P185" s="49">
        <f t="shared" si="23"/>
        <v>-7159823653084.4473</v>
      </c>
      <c r="Q185" s="48">
        <f t="shared" si="29"/>
        <v>774083942688802</v>
      </c>
      <c r="R185" s="53">
        <f t="shared" si="30"/>
        <v>57.129621809089763</v>
      </c>
      <c r="S185" s="52">
        <v>35</v>
      </c>
    </row>
    <row r="186" spans="1:19">
      <c r="A186" s="3">
        <f t="shared" si="25"/>
        <v>16</v>
      </c>
      <c r="B186" s="3">
        <f t="shared" si="26"/>
        <v>184</v>
      </c>
      <c r="C186" s="40">
        <f t="shared" si="27"/>
        <v>13549607334.625124</v>
      </c>
      <c r="D186" s="41">
        <f>'System Assumptions'!$E$11/12</f>
        <v>75242280</v>
      </c>
      <c r="E186" s="41">
        <f>-'System Assumptions'!$E$10/12</f>
        <v>-133627000</v>
      </c>
      <c r="F186" s="41">
        <f>IF(I185&lt;'System Assumptions'!$E$29,'Hydrological Data Model'!$E$33/12,'Hydrological Data Model'!$E$33/12)</f>
        <v>183636903.52495179</v>
      </c>
      <c r="G186" s="42">
        <f>IF(I185&lt;'System Assumptions'!$E$29,0,-(MIN('Hydrological Data Model'!$E$34,'Hydrological Data Model'!$E$33-'System Assumptions'!$E$12))/12)</f>
        <v>-125252183.52495177</v>
      </c>
      <c r="H186" s="42">
        <f t="shared" si="22"/>
        <v>13549607334.625124</v>
      </c>
      <c r="I186" s="106">
        <f>H186/'System Assumptions'!$F$15</f>
        <v>15.252270619126433</v>
      </c>
      <c r="J186" s="42">
        <f>'System Assumptions'!$E$30+'System Assumptions'!$E$28-'Data Model Calculations'!I186</f>
        <v>64.501329380873571</v>
      </c>
      <c r="K186" s="45">
        <f t="shared" si="24"/>
        <v>57.129621809089763</v>
      </c>
      <c r="L186" s="46">
        <f t="shared" si="28"/>
        <v>774083942688802</v>
      </c>
      <c r="M186" s="47">
        <f>D186/1000*('System Assumptions'!$F$20*1000000)</f>
        <v>276691425000.00018</v>
      </c>
      <c r="N186" s="48"/>
      <c r="O186" s="49">
        <f>(F186/1000)*('System Assumptions'!$F$21*1000000)</f>
        <v>6427291623373.3125</v>
      </c>
      <c r="P186" s="49">
        <f t="shared" si="23"/>
        <v>-7155609875543.1982</v>
      </c>
      <c r="Q186" s="48">
        <f t="shared" si="29"/>
        <v>773632315861632</v>
      </c>
      <c r="R186" s="53">
        <f t="shared" si="30"/>
        <v>57.096290450031411</v>
      </c>
      <c r="S186" s="52">
        <v>35</v>
      </c>
    </row>
    <row r="187" spans="1:19">
      <c r="A187" s="3">
        <f t="shared" si="25"/>
        <v>16</v>
      </c>
      <c r="B187" s="3">
        <f t="shared" si="26"/>
        <v>185</v>
      </c>
      <c r="C187" s="40">
        <f t="shared" si="27"/>
        <v>13549607334.625124</v>
      </c>
      <c r="D187" s="41">
        <f>'System Assumptions'!$E$11/12</f>
        <v>75242280</v>
      </c>
      <c r="E187" s="41">
        <f>-'System Assumptions'!$E$10/12</f>
        <v>-133627000</v>
      </c>
      <c r="F187" s="41">
        <f>IF(I186&lt;'System Assumptions'!$E$29,'Hydrological Data Model'!$E$33/12,'Hydrological Data Model'!$E$33/12)</f>
        <v>183636903.52495179</v>
      </c>
      <c r="G187" s="42">
        <f>IF(I186&lt;'System Assumptions'!$E$29,0,-(MIN('Hydrological Data Model'!$E$34,'Hydrological Data Model'!$E$33-'System Assumptions'!$E$12))/12)</f>
        <v>-125252183.52495177</v>
      </c>
      <c r="H187" s="42">
        <f t="shared" si="22"/>
        <v>13549607334.625124</v>
      </c>
      <c r="I187" s="106">
        <f>H187/'System Assumptions'!$F$15</f>
        <v>15.252270619126433</v>
      </c>
      <c r="J187" s="42">
        <f>'System Assumptions'!$E$30+'System Assumptions'!$E$28-'Data Model Calculations'!I187</f>
        <v>64.501329380873571</v>
      </c>
      <c r="K187" s="45">
        <f t="shared" si="24"/>
        <v>57.096290450031411</v>
      </c>
      <c r="L187" s="46">
        <f t="shared" si="28"/>
        <v>773632315861632</v>
      </c>
      <c r="M187" s="47">
        <f>D187/1000*('System Assumptions'!$F$20*1000000)</f>
        <v>276691425000.00018</v>
      </c>
      <c r="N187" s="48"/>
      <c r="O187" s="49">
        <f>(F187/1000)*('System Assumptions'!$F$21*1000000)</f>
        <v>6427291623373.3125</v>
      </c>
      <c r="P187" s="49">
        <f t="shared" si="23"/>
        <v>-7151435050041.2852</v>
      </c>
      <c r="Q187" s="48">
        <f t="shared" si="29"/>
        <v>773184863859964</v>
      </c>
      <c r="R187" s="53">
        <f t="shared" si="30"/>
        <v>57.063267205104999</v>
      </c>
      <c r="S187" s="52">
        <v>35</v>
      </c>
    </row>
    <row r="188" spans="1:19">
      <c r="A188" s="3">
        <f t="shared" si="25"/>
        <v>16</v>
      </c>
      <c r="B188" s="3">
        <f t="shared" si="26"/>
        <v>186</v>
      </c>
      <c r="C188" s="40">
        <f t="shared" si="27"/>
        <v>13549607334.625124</v>
      </c>
      <c r="D188" s="41">
        <f>'System Assumptions'!$E$11/12</f>
        <v>75242280</v>
      </c>
      <c r="E188" s="41">
        <f>-'System Assumptions'!$E$10/12</f>
        <v>-133627000</v>
      </c>
      <c r="F188" s="41">
        <f>IF(I187&lt;'System Assumptions'!$E$29,'Hydrological Data Model'!$E$33/12,'Hydrological Data Model'!$E$33/12)</f>
        <v>183636903.52495179</v>
      </c>
      <c r="G188" s="42">
        <f>IF(I187&lt;'System Assumptions'!$E$29,0,-(MIN('Hydrological Data Model'!$E$34,'Hydrological Data Model'!$E$33-'System Assumptions'!$E$12))/12)</f>
        <v>-125252183.52495177</v>
      </c>
      <c r="H188" s="42">
        <f t="shared" si="22"/>
        <v>13549607334.625124</v>
      </c>
      <c r="I188" s="106">
        <f>H188/'System Assumptions'!$F$15</f>
        <v>15.252270619126433</v>
      </c>
      <c r="J188" s="42">
        <f>'System Assumptions'!$E$30+'System Assumptions'!$E$28-'Data Model Calculations'!I188</f>
        <v>64.501329380873571</v>
      </c>
      <c r="K188" s="45">
        <f t="shared" si="24"/>
        <v>57.063267205104999</v>
      </c>
      <c r="L188" s="46">
        <f t="shared" si="28"/>
        <v>773184863859964</v>
      </c>
      <c r="M188" s="47">
        <f>D188/1000*('System Assumptions'!$F$20*1000000)</f>
        <v>276691425000.00018</v>
      </c>
      <c r="N188" s="48"/>
      <c r="O188" s="49">
        <f>(F188/1000)*('System Assumptions'!$F$21*1000000)</f>
        <v>6427291623373.3125</v>
      </c>
      <c r="P188" s="49">
        <f t="shared" si="23"/>
        <v>-7147298816507.1729</v>
      </c>
      <c r="Q188" s="48">
        <f t="shared" si="29"/>
        <v>772741548091830.13</v>
      </c>
      <c r="R188" s="53">
        <f t="shared" si="30"/>
        <v>57.030549226112278</v>
      </c>
      <c r="S188" s="52">
        <v>35</v>
      </c>
    </row>
    <row r="189" spans="1:19">
      <c r="A189" s="3">
        <f t="shared" si="25"/>
        <v>16</v>
      </c>
      <c r="B189" s="3">
        <f t="shared" si="26"/>
        <v>187</v>
      </c>
      <c r="C189" s="40">
        <f t="shared" si="27"/>
        <v>13549607334.625124</v>
      </c>
      <c r="D189" s="41">
        <f>'System Assumptions'!$E$11/12</f>
        <v>75242280</v>
      </c>
      <c r="E189" s="41">
        <f>-'System Assumptions'!$E$10/12</f>
        <v>-133627000</v>
      </c>
      <c r="F189" s="41">
        <f>IF(I188&lt;'System Assumptions'!$E$29,'Hydrological Data Model'!$E$33/12,'Hydrological Data Model'!$E$33/12)</f>
        <v>183636903.52495179</v>
      </c>
      <c r="G189" s="42">
        <f>IF(I188&lt;'System Assumptions'!$E$29,0,-(MIN('Hydrological Data Model'!$E$34,'Hydrological Data Model'!$E$33-'System Assumptions'!$E$12))/12)</f>
        <v>-125252183.52495177</v>
      </c>
      <c r="H189" s="42">
        <f t="shared" si="22"/>
        <v>13549607334.625124</v>
      </c>
      <c r="I189" s="106">
        <f>H189/'System Assumptions'!$F$15</f>
        <v>15.252270619126433</v>
      </c>
      <c r="J189" s="42">
        <f>'System Assumptions'!$E$30+'System Assumptions'!$E$28-'Data Model Calculations'!I189</f>
        <v>64.501329380873571</v>
      </c>
      <c r="K189" s="45">
        <f t="shared" si="24"/>
        <v>57.030549226112278</v>
      </c>
      <c r="L189" s="46">
        <f t="shared" si="28"/>
        <v>772741548091830.13</v>
      </c>
      <c r="M189" s="47">
        <f>D189/1000*('System Assumptions'!$F$20*1000000)</f>
        <v>276691425000.00018</v>
      </c>
      <c r="N189" s="48"/>
      <c r="O189" s="49">
        <f>(F189/1000)*('System Assumptions'!$F$21*1000000)</f>
        <v>6427291623373.3125</v>
      </c>
      <c r="P189" s="49">
        <f t="shared" si="23"/>
        <v>-7143200818197.8105</v>
      </c>
      <c r="Q189" s="48">
        <f t="shared" si="29"/>
        <v>772302330322005.75</v>
      </c>
      <c r="R189" s="53">
        <f t="shared" si="30"/>
        <v>56.998133691183675</v>
      </c>
      <c r="S189" s="52">
        <v>35</v>
      </c>
    </row>
    <row r="190" spans="1:19">
      <c r="A190" s="3">
        <f t="shared" si="25"/>
        <v>16</v>
      </c>
      <c r="B190" s="3">
        <f t="shared" si="26"/>
        <v>188</v>
      </c>
      <c r="C190" s="40">
        <f t="shared" si="27"/>
        <v>13549607334.625124</v>
      </c>
      <c r="D190" s="41">
        <f>'System Assumptions'!$E$11/12</f>
        <v>75242280</v>
      </c>
      <c r="E190" s="41">
        <f>-'System Assumptions'!$E$10/12</f>
        <v>-133627000</v>
      </c>
      <c r="F190" s="41">
        <f>IF(I189&lt;'System Assumptions'!$E$29,'Hydrological Data Model'!$E$33/12,'Hydrological Data Model'!$E$33/12)</f>
        <v>183636903.52495179</v>
      </c>
      <c r="G190" s="42">
        <f>IF(I189&lt;'System Assumptions'!$E$29,0,-(MIN('Hydrological Data Model'!$E$34,'Hydrological Data Model'!$E$33-'System Assumptions'!$E$12))/12)</f>
        <v>-125252183.52495177</v>
      </c>
      <c r="H190" s="42">
        <f t="shared" si="22"/>
        <v>13549607334.625124</v>
      </c>
      <c r="I190" s="106">
        <f>H190/'System Assumptions'!$F$15</f>
        <v>15.252270619126433</v>
      </c>
      <c r="J190" s="42">
        <f>'System Assumptions'!$E$30+'System Assumptions'!$E$28-'Data Model Calculations'!I190</f>
        <v>64.501329380873571</v>
      </c>
      <c r="K190" s="45">
        <f t="shared" si="24"/>
        <v>56.998133691183675</v>
      </c>
      <c r="L190" s="46">
        <f t="shared" si="28"/>
        <v>772302330322005.75</v>
      </c>
      <c r="M190" s="47">
        <f>D190/1000*('System Assumptions'!$F$20*1000000)</f>
        <v>276691425000.00018</v>
      </c>
      <c r="N190" s="48"/>
      <c r="O190" s="49">
        <f>(F190/1000)*('System Assumptions'!$F$21*1000000)</f>
        <v>6427291623373.3125</v>
      </c>
      <c r="P190" s="49">
        <f t="shared" si="23"/>
        <v>-7139140701667.874</v>
      </c>
      <c r="Q190" s="48">
        <f t="shared" si="29"/>
        <v>771867172668711.13</v>
      </c>
      <c r="R190" s="53">
        <f t="shared" si="30"/>
        <v>56.966017804534879</v>
      </c>
      <c r="S190" s="52">
        <v>35</v>
      </c>
    </row>
    <row r="191" spans="1:19">
      <c r="A191" s="3">
        <f t="shared" si="25"/>
        <v>16</v>
      </c>
      <c r="B191" s="3">
        <f t="shared" si="26"/>
        <v>189</v>
      </c>
      <c r="C191" s="40">
        <f t="shared" si="27"/>
        <v>13549607334.625124</v>
      </c>
      <c r="D191" s="41">
        <f>'System Assumptions'!$E$11/12</f>
        <v>75242280</v>
      </c>
      <c r="E191" s="41">
        <f>-'System Assumptions'!$E$10/12</f>
        <v>-133627000</v>
      </c>
      <c r="F191" s="41">
        <f>IF(I190&lt;'System Assumptions'!$E$29,'Hydrological Data Model'!$E$33/12,'Hydrological Data Model'!$E$33/12)</f>
        <v>183636903.52495179</v>
      </c>
      <c r="G191" s="42">
        <f>IF(I190&lt;'System Assumptions'!$E$29,0,-(MIN('Hydrological Data Model'!$E$34,'Hydrological Data Model'!$E$33-'System Assumptions'!$E$12))/12)</f>
        <v>-125252183.52495177</v>
      </c>
      <c r="H191" s="42">
        <f t="shared" si="22"/>
        <v>13549607334.625124</v>
      </c>
      <c r="I191" s="106">
        <f>H191/'System Assumptions'!$F$15</f>
        <v>15.252270619126433</v>
      </c>
      <c r="J191" s="42">
        <f>'System Assumptions'!$E$30+'System Assumptions'!$E$28-'Data Model Calculations'!I191</f>
        <v>64.501329380873571</v>
      </c>
      <c r="K191" s="45">
        <f t="shared" si="24"/>
        <v>56.966017804534879</v>
      </c>
      <c r="L191" s="46">
        <f t="shared" si="28"/>
        <v>771867172668711.13</v>
      </c>
      <c r="M191" s="47">
        <f>D191/1000*('System Assumptions'!$F$20*1000000)</f>
        <v>276691425000.00018</v>
      </c>
      <c r="N191" s="48"/>
      <c r="O191" s="49">
        <f>(F191/1000)*('System Assumptions'!$F$21*1000000)</f>
        <v>6427291623373.3125</v>
      </c>
      <c r="P191" s="49">
        <f t="shared" si="23"/>
        <v>-7135118116739.2725</v>
      </c>
      <c r="Q191" s="48">
        <f t="shared" si="29"/>
        <v>771436037600345.25</v>
      </c>
      <c r="R191" s="53">
        <f t="shared" si="30"/>
        <v>56.934198796225743</v>
      </c>
      <c r="S191" s="52">
        <v>35</v>
      </c>
    </row>
    <row r="192" spans="1:19">
      <c r="A192" s="3">
        <f t="shared" si="25"/>
        <v>16</v>
      </c>
      <c r="B192" s="3">
        <f t="shared" si="26"/>
        <v>190</v>
      </c>
      <c r="C192" s="40">
        <f t="shared" si="27"/>
        <v>13549607334.625124</v>
      </c>
      <c r="D192" s="41">
        <f>'System Assumptions'!$E$11/12</f>
        <v>75242280</v>
      </c>
      <c r="E192" s="41">
        <f>-'System Assumptions'!$E$10/12</f>
        <v>-133627000</v>
      </c>
      <c r="F192" s="41">
        <f>IF(I191&lt;'System Assumptions'!$E$29,'Hydrological Data Model'!$E$33/12,'Hydrological Data Model'!$E$33/12)</f>
        <v>183636903.52495179</v>
      </c>
      <c r="G192" s="42">
        <f>IF(I191&lt;'System Assumptions'!$E$29,0,-(MIN('Hydrological Data Model'!$E$34,'Hydrological Data Model'!$E$33-'System Assumptions'!$E$12))/12)</f>
        <v>-125252183.52495177</v>
      </c>
      <c r="H192" s="42">
        <f t="shared" si="22"/>
        <v>13549607334.625124</v>
      </c>
      <c r="I192" s="106">
        <f>H192/'System Assumptions'!$F$15</f>
        <v>15.252270619126433</v>
      </c>
      <c r="J192" s="42">
        <f>'System Assumptions'!$E$30+'System Assumptions'!$E$28-'Data Model Calculations'!I192</f>
        <v>64.501329380873571</v>
      </c>
      <c r="K192" s="45">
        <f t="shared" si="24"/>
        <v>56.934198796225743</v>
      </c>
      <c r="L192" s="46">
        <f t="shared" si="28"/>
        <v>771436037600345.25</v>
      </c>
      <c r="M192" s="47">
        <f>D192/1000*('System Assumptions'!$F$20*1000000)</f>
        <v>276691425000.00018</v>
      </c>
      <c r="N192" s="48"/>
      <c r="O192" s="49">
        <f>(F192/1000)*('System Assumptions'!$F$21*1000000)</f>
        <v>6427291623373.3125</v>
      </c>
      <c r="P192" s="49">
        <f t="shared" si="23"/>
        <v>-7131132716470.9551</v>
      </c>
      <c r="Q192" s="48">
        <f t="shared" si="29"/>
        <v>771008887932247.5</v>
      </c>
      <c r="R192" s="53">
        <f t="shared" si="30"/>
        <v>56.90267392192137</v>
      </c>
      <c r="S192" s="52">
        <v>35</v>
      </c>
    </row>
    <row r="193" spans="1:19">
      <c r="A193" s="3">
        <f t="shared" si="25"/>
        <v>16</v>
      </c>
      <c r="B193" s="3">
        <f t="shared" si="26"/>
        <v>191</v>
      </c>
      <c r="C193" s="40">
        <f t="shared" si="27"/>
        <v>13549607334.625124</v>
      </c>
      <c r="D193" s="41">
        <f>'System Assumptions'!$E$11/12</f>
        <v>75242280</v>
      </c>
      <c r="E193" s="41">
        <f>-'System Assumptions'!$E$10/12</f>
        <v>-133627000</v>
      </c>
      <c r="F193" s="41">
        <f>IF(I192&lt;'System Assumptions'!$E$29,'Hydrological Data Model'!$E$33/12,'Hydrological Data Model'!$E$33/12)</f>
        <v>183636903.52495179</v>
      </c>
      <c r="G193" s="42">
        <f>IF(I192&lt;'System Assumptions'!$E$29,0,-(MIN('Hydrological Data Model'!$E$34,'Hydrological Data Model'!$E$33-'System Assumptions'!$E$12))/12)</f>
        <v>-125252183.52495177</v>
      </c>
      <c r="H193" s="42">
        <f t="shared" si="22"/>
        <v>13549607334.625124</v>
      </c>
      <c r="I193" s="106">
        <f>H193/'System Assumptions'!$F$15</f>
        <v>15.252270619126433</v>
      </c>
      <c r="J193" s="42">
        <f>'System Assumptions'!$E$30+'System Assumptions'!$E$28-'Data Model Calculations'!I193</f>
        <v>64.501329380873571</v>
      </c>
      <c r="K193" s="45">
        <f t="shared" si="24"/>
        <v>56.90267392192137</v>
      </c>
      <c r="L193" s="46">
        <f t="shared" si="28"/>
        <v>771008887932247.5</v>
      </c>
      <c r="M193" s="47">
        <f>D193/1000*('System Assumptions'!$F$20*1000000)</f>
        <v>276691425000.00018</v>
      </c>
      <c r="N193" s="48"/>
      <c r="O193" s="49">
        <f>(F193/1000)*('System Assumptions'!$F$21*1000000)</f>
        <v>6427291623373.3125</v>
      </c>
      <c r="P193" s="49">
        <f t="shared" si="23"/>
        <v>-7127184157128.9824</v>
      </c>
      <c r="Q193" s="48">
        <f t="shared" si="29"/>
        <v>770585686823491.75</v>
      </c>
      <c r="R193" s="53">
        <f t="shared" si="30"/>
        <v>56.871440462655407</v>
      </c>
      <c r="S193" s="52">
        <v>35</v>
      </c>
    </row>
    <row r="194" spans="1:19">
      <c r="A194" s="3">
        <f t="shared" si="25"/>
        <v>16</v>
      </c>
      <c r="B194" s="3">
        <f t="shared" si="26"/>
        <v>192</v>
      </c>
      <c r="C194" s="40">
        <f t="shared" si="27"/>
        <v>13549607334.625124</v>
      </c>
      <c r="D194" s="41">
        <f>'System Assumptions'!$E$11/12</f>
        <v>75242280</v>
      </c>
      <c r="E194" s="41">
        <f>-'System Assumptions'!$E$10/12</f>
        <v>-133627000</v>
      </c>
      <c r="F194" s="41">
        <f>IF(I193&lt;'System Assumptions'!$E$29,'Hydrological Data Model'!$E$33/12,'Hydrological Data Model'!$E$33/12)</f>
        <v>183636903.52495179</v>
      </c>
      <c r="G194" s="42">
        <f>IF(I193&lt;'System Assumptions'!$E$29,0,-(MIN('Hydrological Data Model'!$E$34,'Hydrological Data Model'!$E$33-'System Assumptions'!$E$12))/12)</f>
        <v>-125252183.52495177</v>
      </c>
      <c r="H194" s="42">
        <f t="shared" si="22"/>
        <v>13549607334.625124</v>
      </c>
      <c r="I194" s="106">
        <f>H194/'System Assumptions'!$F$15</f>
        <v>15.252270619126433</v>
      </c>
      <c r="J194" s="42">
        <f>'System Assumptions'!$E$30+'System Assumptions'!$E$28-'Data Model Calculations'!I194</f>
        <v>64.501329380873571</v>
      </c>
      <c r="K194" s="45">
        <f t="shared" si="24"/>
        <v>56.871440462655407</v>
      </c>
      <c r="L194" s="46">
        <f t="shared" si="28"/>
        <v>770585686823491.75</v>
      </c>
      <c r="M194" s="47">
        <f>D194/1000*('System Assumptions'!$F$20*1000000)</f>
        <v>276691425000.00018</v>
      </c>
      <c r="N194" s="48"/>
      <c r="O194" s="49">
        <f>(F194/1000)*('System Assumptions'!$F$21*1000000)</f>
        <v>6427291623373.3125</v>
      </c>
      <c r="P194" s="49">
        <f t="shared" si="23"/>
        <v>-7123272098156.8828</v>
      </c>
      <c r="Q194" s="48">
        <f t="shared" si="29"/>
        <v>770166397773708.13</v>
      </c>
      <c r="R194" s="53">
        <f t="shared" si="30"/>
        <v>56.84049572459557</v>
      </c>
      <c r="S194" s="52">
        <v>35</v>
      </c>
    </row>
    <row r="195" spans="1:19">
      <c r="A195" s="3">
        <f t="shared" si="25"/>
        <v>17</v>
      </c>
      <c r="B195" s="3">
        <f t="shared" si="26"/>
        <v>193</v>
      </c>
      <c r="C195" s="40">
        <f t="shared" si="27"/>
        <v>13549607334.625124</v>
      </c>
      <c r="D195" s="41">
        <f>'System Assumptions'!$E$11/12</f>
        <v>75242280</v>
      </c>
      <c r="E195" s="41">
        <f>-'System Assumptions'!$E$10/12</f>
        <v>-133627000</v>
      </c>
      <c r="F195" s="41">
        <f>IF(I194&lt;'System Assumptions'!$E$29,'Hydrological Data Model'!$E$33/12,'Hydrological Data Model'!$E$33/12)</f>
        <v>183636903.52495179</v>
      </c>
      <c r="G195" s="42">
        <f>IF(I194&lt;'System Assumptions'!$E$29,0,-(MIN('Hydrological Data Model'!$E$34,'Hydrological Data Model'!$E$33-'System Assumptions'!$E$12))/12)</f>
        <v>-125252183.52495177</v>
      </c>
      <c r="H195" s="42">
        <f t="shared" ref="H195:H258" si="31">SUM(C195:G195)</f>
        <v>13549607334.625124</v>
      </c>
      <c r="I195" s="106">
        <f>H195/'System Assumptions'!$F$15</f>
        <v>15.252270619126433</v>
      </c>
      <c r="J195" s="42">
        <f>'System Assumptions'!$E$30+'System Assumptions'!$E$28-'Data Model Calculations'!I195</f>
        <v>64.501329380873571</v>
      </c>
      <c r="K195" s="45">
        <f t="shared" si="24"/>
        <v>56.84049572459557</v>
      </c>
      <c r="L195" s="46">
        <f t="shared" si="28"/>
        <v>770166397773708.13</v>
      </c>
      <c r="M195" s="47">
        <f>D195/1000*('System Assumptions'!$F$20*1000000)</f>
        <v>276691425000.00018</v>
      </c>
      <c r="N195" s="48"/>
      <c r="O195" s="49">
        <f>(F195/1000)*('System Assumptions'!$F$21*1000000)</f>
        <v>6427291623373.3125</v>
      </c>
      <c r="P195" s="49">
        <f t="shared" ref="P195:P258" si="32">(G195*1000000)*K195/1000</f>
        <v>-7119396202146.2813</v>
      </c>
      <c r="Q195" s="48">
        <f t="shared" si="29"/>
        <v>769750984619935.25</v>
      </c>
      <c r="R195" s="53">
        <f t="shared" si="30"/>
        <v>56.809837038811274</v>
      </c>
      <c r="S195" s="52">
        <v>35</v>
      </c>
    </row>
    <row r="196" spans="1:19">
      <c r="A196" s="3">
        <f t="shared" si="25"/>
        <v>17</v>
      </c>
      <c r="B196" s="3">
        <f t="shared" si="26"/>
        <v>194</v>
      </c>
      <c r="C196" s="40">
        <f t="shared" si="27"/>
        <v>13549607334.625124</v>
      </c>
      <c r="D196" s="41">
        <f>'System Assumptions'!$E$11/12</f>
        <v>75242280</v>
      </c>
      <c r="E196" s="41">
        <f>-'System Assumptions'!$E$10/12</f>
        <v>-133627000</v>
      </c>
      <c r="F196" s="41">
        <f>IF(I195&lt;'System Assumptions'!$E$29,'Hydrological Data Model'!$E$33/12,'Hydrological Data Model'!$E$33/12)</f>
        <v>183636903.52495179</v>
      </c>
      <c r="G196" s="42">
        <f>IF(I195&lt;'System Assumptions'!$E$29,0,-(MIN('Hydrological Data Model'!$E$34,'Hydrological Data Model'!$E$33-'System Assumptions'!$E$12))/12)</f>
        <v>-125252183.52495177</v>
      </c>
      <c r="H196" s="42">
        <f t="shared" si="31"/>
        <v>13549607334.625124</v>
      </c>
      <c r="I196" s="106">
        <f>H196/'System Assumptions'!$F$15</f>
        <v>15.252270619126433</v>
      </c>
      <c r="J196" s="42">
        <f>'System Assumptions'!$E$30+'System Assumptions'!$E$28-'Data Model Calculations'!I196</f>
        <v>64.501329380873571</v>
      </c>
      <c r="K196" s="45">
        <f t="shared" ref="K196:K259" si="33">R195</f>
        <v>56.809837038811274</v>
      </c>
      <c r="L196" s="46">
        <f t="shared" si="28"/>
        <v>769750984619935.25</v>
      </c>
      <c r="M196" s="47">
        <f>D196/1000*('System Assumptions'!$F$20*1000000)</f>
        <v>276691425000.00018</v>
      </c>
      <c r="N196" s="48"/>
      <c r="O196" s="49">
        <f>(F196/1000)*('System Assumptions'!$F$21*1000000)</f>
        <v>6427291623373.3125</v>
      </c>
      <c r="P196" s="49">
        <f t="shared" si="32"/>
        <v>-7115556134807.792</v>
      </c>
      <c r="Q196" s="48">
        <f t="shared" si="29"/>
        <v>769339411533500.75</v>
      </c>
      <c r="R196" s="53">
        <f t="shared" si="30"/>
        <v>56.779461761043429</v>
      </c>
      <c r="S196" s="52">
        <v>35</v>
      </c>
    </row>
    <row r="197" spans="1:19">
      <c r="A197" s="3">
        <f t="shared" ref="A197:A242" si="34">IF(MOD(B197,12)=1,A196+1,A196)</f>
        <v>17</v>
      </c>
      <c r="B197" s="3">
        <f t="shared" si="26"/>
        <v>195</v>
      </c>
      <c r="C197" s="40">
        <f t="shared" si="27"/>
        <v>13549607334.625124</v>
      </c>
      <c r="D197" s="41">
        <f>'System Assumptions'!$E$11/12</f>
        <v>75242280</v>
      </c>
      <c r="E197" s="41">
        <f>-'System Assumptions'!$E$10/12</f>
        <v>-133627000</v>
      </c>
      <c r="F197" s="41">
        <f>IF(I196&lt;'System Assumptions'!$E$29,'Hydrological Data Model'!$E$33/12,'Hydrological Data Model'!$E$33/12)</f>
        <v>183636903.52495179</v>
      </c>
      <c r="G197" s="42">
        <f>IF(I196&lt;'System Assumptions'!$E$29,0,-(MIN('Hydrological Data Model'!$E$34,'Hydrological Data Model'!$E$33-'System Assumptions'!$E$12))/12)</f>
        <v>-125252183.52495177</v>
      </c>
      <c r="H197" s="42">
        <f t="shared" si="31"/>
        <v>13549607334.625124</v>
      </c>
      <c r="I197" s="106">
        <f>H197/'System Assumptions'!$F$15</f>
        <v>15.252270619126433</v>
      </c>
      <c r="J197" s="42">
        <f>'System Assumptions'!$E$30+'System Assumptions'!$E$28-'Data Model Calculations'!I197</f>
        <v>64.501329380873571</v>
      </c>
      <c r="K197" s="45">
        <f t="shared" si="33"/>
        <v>56.779461761043429</v>
      </c>
      <c r="L197" s="46">
        <f t="shared" si="28"/>
        <v>769339411533500.75</v>
      </c>
      <c r="M197" s="47">
        <f>D197/1000*('System Assumptions'!$F$20*1000000)</f>
        <v>276691425000.00018</v>
      </c>
      <c r="N197" s="48"/>
      <c r="O197" s="49">
        <f>(F197/1000)*('System Assumptions'!$F$21*1000000)</f>
        <v>6427291623373.3125</v>
      </c>
      <c r="P197" s="49">
        <f t="shared" si="32"/>
        <v>-7111751564942.1934</v>
      </c>
      <c r="Q197" s="48">
        <f t="shared" si="29"/>
        <v>768931643016931.75</v>
      </c>
      <c r="R197" s="53">
        <f t="shared" si="30"/>
        <v>56.749367271476409</v>
      </c>
      <c r="S197" s="52">
        <v>35</v>
      </c>
    </row>
    <row r="198" spans="1:19">
      <c r="A198" s="3">
        <f t="shared" si="34"/>
        <v>17</v>
      </c>
      <c r="B198" s="3">
        <f t="shared" si="26"/>
        <v>196</v>
      </c>
      <c r="C198" s="40">
        <f t="shared" si="27"/>
        <v>13549607334.625124</v>
      </c>
      <c r="D198" s="41">
        <f>'System Assumptions'!$E$11/12</f>
        <v>75242280</v>
      </c>
      <c r="E198" s="41">
        <f>-'System Assumptions'!$E$10/12</f>
        <v>-133627000</v>
      </c>
      <c r="F198" s="41">
        <f>IF(I197&lt;'System Assumptions'!$E$29,'Hydrological Data Model'!$E$33/12,'Hydrological Data Model'!$E$33/12)</f>
        <v>183636903.52495179</v>
      </c>
      <c r="G198" s="42">
        <f>IF(I197&lt;'System Assumptions'!$E$29,0,-(MIN('Hydrological Data Model'!$E$34,'Hydrological Data Model'!$E$33-'System Assumptions'!$E$12))/12)</f>
        <v>-125252183.52495177</v>
      </c>
      <c r="H198" s="42">
        <f t="shared" si="31"/>
        <v>13549607334.625124</v>
      </c>
      <c r="I198" s="106">
        <f>H198/'System Assumptions'!$F$15</f>
        <v>15.252270619126433</v>
      </c>
      <c r="J198" s="42">
        <f>'System Assumptions'!$E$30+'System Assumptions'!$E$28-'Data Model Calculations'!I198</f>
        <v>64.501329380873571</v>
      </c>
      <c r="K198" s="45">
        <f t="shared" si="33"/>
        <v>56.749367271476409</v>
      </c>
      <c r="L198" s="46">
        <f t="shared" si="28"/>
        <v>768931643016931.75</v>
      </c>
      <c r="M198" s="47">
        <f>D198/1000*('System Assumptions'!$F$20*1000000)</f>
        <v>276691425000.00018</v>
      </c>
      <c r="N198" s="48"/>
      <c r="O198" s="49">
        <f>(F198/1000)*('System Assumptions'!$F$21*1000000)</f>
        <v>6427291623373.3125</v>
      </c>
      <c r="P198" s="49">
        <f t="shared" si="32"/>
        <v>-7107982164411.8535</v>
      </c>
      <c r="Q198" s="48">
        <f t="shared" si="29"/>
        <v>768527643900893.13</v>
      </c>
      <c r="R198" s="53">
        <f t="shared" si="30"/>
        <v>56.719550974512131</v>
      </c>
      <c r="S198" s="52">
        <v>35</v>
      </c>
    </row>
    <row r="199" spans="1:19">
      <c r="A199" s="3">
        <f t="shared" si="34"/>
        <v>17</v>
      </c>
      <c r="B199" s="3">
        <f t="shared" si="26"/>
        <v>197</v>
      </c>
      <c r="C199" s="40">
        <f t="shared" si="27"/>
        <v>13549607334.625124</v>
      </c>
      <c r="D199" s="41">
        <f>'System Assumptions'!$E$11/12</f>
        <v>75242280</v>
      </c>
      <c r="E199" s="41">
        <f>-'System Assumptions'!$E$10/12</f>
        <v>-133627000</v>
      </c>
      <c r="F199" s="41">
        <f>IF(I198&lt;'System Assumptions'!$E$29,'Hydrological Data Model'!$E$33/12,'Hydrological Data Model'!$E$33/12)</f>
        <v>183636903.52495179</v>
      </c>
      <c r="G199" s="42">
        <f>IF(I198&lt;'System Assumptions'!$E$29,0,-(MIN('Hydrological Data Model'!$E$34,'Hydrological Data Model'!$E$33-'System Assumptions'!$E$12))/12)</f>
        <v>-125252183.52495177</v>
      </c>
      <c r="H199" s="42">
        <f t="shared" si="31"/>
        <v>13549607334.625124</v>
      </c>
      <c r="I199" s="106">
        <f>H199/'System Assumptions'!$F$15</f>
        <v>15.252270619126433</v>
      </c>
      <c r="J199" s="42">
        <f>'System Assumptions'!$E$30+'System Assumptions'!$E$28-'Data Model Calculations'!I199</f>
        <v>64.501329380873571</v>
      </c>
      <c r="K199" s="45">
        <f t="shared" si="33"/>
        <v>56.719550974512131</v>
      </c>
      <c r="L199" s="46">
        <f t="shared" si="28"/>
        <v>768527643900893.13</v>
      </c>
      <c r="M199" s="47">
        <f>D199/1000*('System Assumptions'!$F$20*1000000)</f>
        <v>276691425000.00018</v>
      </c>
      <c r="N199" s="48"/>
      <c r="O199" s="49">
        <f>(F199/1000)*('System Assumptions'!$F$21*1000000)</f>
        <v>6427291623373.3125</v>
      </c>
      <c r="P199" s="49">
        <f t="shared" si="32"/>
        <v>-7104247608112.4502</v>
      </c>
      <c r="Q199" s="48">
        <f t="shared" si="29"/>
        <v>768127379341154</v>
      </c>
      <c r="R199" s="53">
        <f t="shared" si="30"/>
        <v>56.690010298546099</v>
      </c>
      <c r="S199" s="52">
        <v>35</v>
      </c>
    </row>
    <row r="200" spans="1:19">
      <c r="A200" s="3">
        <f t="shared" si="34"/>
        <v>17</v>
      </c>
      <c r="B200" s="3">
        <f t="shared" si="26"/>
        <v>198</v>
      </c>
      <c r="C200" s="40">
        <f t="shared" si="27"/>
        <v>13549607334.625124</v>
      </c>
      <c r="D200" s="41">
        <f>'System Assumptions'!$E$11/12</f>
        <v>75242280</v>
      </c>
      <c r="E200" s="41">
        <f>-'System Assumptions'!$E$10/12</f>
        <v>-133627000</v>
      </c>
      <c r="F200" s="41">
        <f>IF(I199&lt;'System Assumptions'!$E$29,'Hydrological Data Model'!$E$33/12,'Hydrological Data Model'!$E$33/12)</f>
        <v>183636903.52495179</v>
      </c>
      <c r="G200" s="42">
        <f>IF(I199&lt;'System Assumptions'!$E$29,0,-(MIN('Hydrological Data Model'!$E$34,'Hydrological Data Model'!$E$33-'System Assumptions'!$E$12))/12)</f>
        <v>-125252183.52495177</v>
      </c>
      <c r="H200" s="42">
        <f t="shared" si="31"/>
        <v>13549607334.625124</v>
      </c>
      <c r="I200" s="106">
        <f>H200/'System Assumptions'!$F$15</f>
        <v>15.252270619126433</v>
      </c>
      <c r="J200" s="42">
        <f>'System Assumptions'!$E$30+'System Assumptions'!$E$28-'Data Model Calculations'!I200</f>
        <v>64.501329380873571</v>
      </c>
      <c r="K200" s="45">
        <f t="shared" si="33"/>
        <v>56.690010298546099</v>
      </c>
      <c r="L200" s="46">
        <f t="shared" si="28"/>
        <v>768127379341154</v>
      </c>
      <c r="M200" s="47">
        <f>D200/1000*('System Assumptions'!$F$20*1000000)</f>
        <v>276691425000.00018</v>
      </c>
      <c r="N200" s="48"/>
      <c r="O200" s="49">
        <f>(F200/1000)*('System Assumptions'!$F$21*1000000)</f>
        <v>6427291623373.3125</v>
      </c>
      <c r="P200" s="49">
        <f t="shared" si="32"/>
        <v>-7100547573944.9023</v>
      </c>
      <c r="Q200" s="48">
        <f t="shared" si="29"/>
        <v>767730814815582.38</v>
      </c>
      <c r="R200" s="53">
        <f t="shared" si="30"/>
        <v>56.660742695745661</v>
      </c>
      <c r="S200" s="52">
        <v>35</v>
      </c>
    </row>
    <row r="201" spans="1:19">
      <c r="A201" s="3">
        <f t="shared" si="34"/>
        <v>17</v>
      </c>
      <c r="B201" s="3">
        <f t="shared" si="26"/>
        <v>199</v>
      </c>
      <c r="C201" s="40">
        <f t="shared" si="27"/>
        <v>13549607334.625124</v>
      </c>
      <c r="D201" s="41">
        <f>'System Assumptions'!$E$11/12</f>
        <v>75242280</v>
      </c>
      <c r="E201" s="41">
        <f>-'System Assumptions'!$E$10/12</f>
        <v>-133627000</v>
      </c>
      <c r="F201" s="41">
        <f>IF(I200&lt;'System Assumptions'!$E$29,'Hydrological Data Model'!$E$33/12,'Hydrological Data Model'!$E$33/12)</f>
        <v>183636903.52495179</v>
      </c>
      <c r="G201" s="42">
        <f>IF(I200&lt;'System Assumptions'!$E$29,0,-(MIN('Hydrological Data Model'!$E$34,'Hydrological Data Model'!$E$33-'System Assumptions'!$E$12))/12)</f>
        <v>-125252183.52495177</v>
      </c>
      <c r="H201" s="42">
        <f t="shared" si="31"/>
        <v>13549607334.625124</v>
      </c>
      <c r="I201" s="106">
        <f>H201/'System Assumptions'!$F$15</f>
        <v>15.252270619126433</v>
      </c>
      <c r="J201" s="42">
        <f>'System Assumptions'!$E$30+'System Assumptions'!$E$28-'Data Model Calculations'!I201</f>
        <v>64.501329380873571</v>
      </c>
      <c r="K201" s="45">
        <f t="shared" si="33"/>
        <v>56.660742695745661</v>
      </c>
      <c r="L201" s="46">
        <f t="shared" si="28"/>
        <v>767730814815582.38</v>
      </c>
      <c r="M201" s="47">
        <f>D201/1000*('System Assumptions'!$F$20*1000000)</f>
        <v>276691425000.00018</v>
      </c>
      <c r="N201" s="48"/>
      <c r="O201" s="49">
        <f>(F201/1000)*('System Assumptions'!$F$21*1000000)</f>
        <v>6427291623373.3125</v>
      </c>
      <c r="P201" s="49">
        <f t="shared" si="32"/>
        <v>-7096881742787.6064</v>
      </c>
      <c r="Q201" s="48">
        <f t="shared" si="29"/>
        <v>767337916121168.13</v>
      </c>
      <c r="R201" s="53">
        <f t="shared" si="30"/>
        <v>56.631745641830292</v>
      </c>
      <c r="S201" s="52">
        <v>35</v>
      </c>
    </row>
    <row r="202" spans="1:19">
      <c r="A202" s="3">
        <f t="shared" si="34"/>
        <v>17</v>
      </c>
      <c r="B202" s="3">
        <f t="shared" si="26"/>
        <v>200</v>
      </c>
      <c r="C202" s="40">
        <f t="shared" si="27"/>
        <v>13549607334.625124</v>
      </c>
      <c r="D202" s="41">
        <f>'System Assumptions'!$E$11/12</f>
        <v>75242280</v>
      </c>
      <c r="E202" s="41">
        <f>-'System Assumptions'!$E$10/12</f>
        <v>-133627000</v>
      </c>
      <c r="F202" s="41">
        <f>IF(I201&lt;'System Assumptions'!$E$29,'Hydrological Data Model'!$E$33/12,'Hydrological Data Model'!$E$33/12)</f>
        <v>183636903.52495179</v>
      </c>
      <c r="G202" s="42">
        <f>IF(I201&lt;'System Assumptions'!$E$29,0,-(MIN('Hydrological Data Model'!$E$34,'Hydrological Data Model'!$E$33-'System Assumptions'!$E$12))/12)</f>
        <v>-125252183.52495177</v>
      </c>
      <c r="H202" s="42">
        <f t="shared" si="31"/>
        <v>13549607334.625124</v>
      </c>
      <c r="I202" s="106">
        <f>H202/'System Assumptions'!$F$15</f>
        <v>15.252270619126433</v>
      </c>
      <c r="J202" s="42">
        <f>'System Assumptions'!$E$30+'System Assumptions'!$E$28-'Data Model Calculations'!I202</f>
        <v>64.501329380873571</v>
      </c>
      <c r="K202" s="45">
        <f t="shared" si="33"/>
        <v>56.631745641830292</v>
      </c>
      <c r="L202" s="46">
        <f t="shared" si="28"/>
        <v>767337916121168.13</v>
      </c>
      <c r="M202" s="47">
        <f>D202/1000*('System Assumptions'!$F$20*1000000)</f>
        <v>276691425000.00018</v>
      </c>
      <c r="N202" s="48"/>
      <c r="O202" s="49">
        <f>(F202/1000)*('System Assumptions'!$F$21*1000000)</f>
        <v>6427291623373.3125</v>
      </c>
      <c r="P202" s="49">
        <f t="shared" si="32"/>
        <v>-7093249798468.915</v>
      </c>
      <c r="Q202" s="48">
        <f t="shared" si="29"/>
        <v>766948649371072.63</v>
      </c>
      <c r="R202" s="53">
        <f t="shared" si="30"/>
        <v>56.603016635853805</v>
      </c>
      <c r="S202" s="52">
        <v>35</v>
      </c>
    </row>
    <row r="203" spans="1:19">
      <c r="A203" s="3">
        <f t="shared" si="34"/>
        <v>17</v>
      </c>
      <c r="B203" s="3">
        <f t="shared" si="26"/>
        <v>201</v>
      </c>
      <c r="C203" s="40">
        <f t="shared" si="27"/>
        <v>13549607334.625124</v>
      </c>
      <c r="D203" s="41">
        <f>'System Assumptions'!$E$11/12</f>
        <v>75242280</v>
      </c>
      <c r="E203" s="41">
        <f>-'System Assumptions'!$E$10/12</f>
        <v>-133627000</v>
      </c>
      <c r="F203" s="41">
        <f>IF(I202&lt;'System Assumptions'!$E$29,'Hydrological Data Model'!$E$33/12,'Hydrological Data Model'!$E$33/12)</f>
        <v>183636903.52495179</v>
      </c>
      <c r="G203" s="42">
        <f>IF(I202&lt;'System Assumptions'!$E$29,0,-(MIN('Hydrological Data Model'!$E$34,'Hydrological Data Model'!$E$33-'System Assumptions'!$E$12))/12)</f>
        <v>-125252183.52495177</v>
      </c>
      <c r="H203" s="42">
        <f t="shared" si="31"/>
        <v>13549607334.625124</v>
      </c>
      <c r="I203" s="106">
        <f>H203/'System Assumptions'!$F$15</f>
        <v>15.252270619126433</v>
      </c>
      <c r="J203" s="42">
        <f>'System Assumptions'!$E$30+'System Assumptions'!$E$28-'Data Model Calculations'!I203</f>
        <v>64.501329380873571</v>
      </c>
      <c r="K203" s="45">
        <f t="shared" si="33"/>
        <v>56.603016635853805</v>
      </c>
      <c r="L203" s="46">
        <f t="shared" si="28"/>
        <v>766948649371072.63</v>
      </c>
      <c r="M203" s="47">
        <f>D203/1000*('System Assumptions'!$F$20*1000000)</f>
        <v>276691425000.00018</v>
      </c>
      <c r="N203" s="48"/>
      <c r="O203" s="49">
        <f>(F203/1000)*('System Assumptions'!$F$21*1000000)</f>
        <v>6427291623373.3125</v>
      </c>
      <c r="P203" s="49">
        <f t="shared" si="32"/>
        <v>-7089651427739.8594</v>
      </c>
      <c r="Q203" s="48">
        <f t="shared" si="29"/>
        <v>766562980991706.13</v>
      </c>
      <c r="R203" s="53">
        <f t="shared" si="30"/>
        <v>56.574553199988699</v>
      </c>
      <c r="S203" s="52">
        <v>35</v>
      </c>
    </row>
    <row r="204" spans="1:19">
      <c r="A204" s="3">
        <f t="shared" si="34"/>
        <v>17</v>
      </c>
      <c r="B204" s="3">
        <f t="shared" si="26"/>
        <v>202</v>
      </c>
      <c r="C204" s="40">
        <f t="shared" si="27"/>
        <v>13549607334.625124</v>
      </c>
      <c r="D204" s="41">
        <f>'System Assumptions'!$E$11/12</f>
        <v>75242280</v>
      </c>
      <c r="E204" s="41">
        <f>-'System Assumptions'!$E$10/12</f>
        <v>-133627000</v>
      </c>
      <c r="F204" s="41">
        <f>IF(I203&lt;'System Assumptions'!$E$29,'Hydrological Data Model'!$E$33/12,'Hydrological Data Model'!$E$33/12)</f>
        <v>183636903.52495179</v>
      </c>
      <c r="G204" s="42">
        <f>IF(I203&lt;'System Assumptions'!$E$29,0,-(MIN('Hydrological Data Model'!$E$34,'Hydrological Data Model'!$E$33-'System Assumptions'!$E$12))/12)</f>
        <v>-125252183.52495177</v>
      </c>
      <c r="H204" s="42">
        <f t="shared" si="31"/>
        <v>13549607334.625124</v>
      </c>
      <c r="I204" s="106">
        <f>H204/'System Assumptions'!$F$15</f>
        <v>15.252270619126433</v>
      </c>
      <c r="J204" s="42">
        <f>'System Assumptions'!$E$30+'System Assumptions'!$E$28-'Data Model Calculations'!I204</f>
        <v>64.501329380873571</v>
      </c>
      <c r="K204" s="45">
        <f t="shared" si="33"/>
        <v>56.574553199988699</v>
      </c>
      <c r="L204" s="46">
        <f t="shared" si="28"/>
        <v>766562980991706.13</v>
      </c>
      <c r="M204" s="47">
        <f>D204/1000*('System Assumptions'!$F$20*1000000)</f>
        <v>276691425000.00018</v>
      </c>
      <c r="N204" s="48"/>
      <c r="O204" s="49">
        <f>(F204/1000)*('System Assumptions'!$F$21*1000000)</f>
        <v>6427291623373.3125</v>
      </c>
      <c r="P204" s="49">
        <f t="shared" si="32"/>
        <v>-7086086320247.1318</v>
      </c>
      <c r="Q204" s="48">
        <f t="shared" si="29"/>
        <v>766180877719832.38</v>
      </c>
      <c r="R204" s="53">
        <f t="shared" si="30"/>
        <v>56.546352879312437</v>
      </c>
      <c r="S204" s="52">
        <v>35</v>
      </c>
    </row>
    <row r="205" spans="1:19">
      <c r="A205" s="3">
        <f t="shared" si="34"/>
        <v>17</v>
      </c>
      <c r="B205" s="3">
        <f t="shared" si="26"/>
        <v>203</v>
      </c>
      <c r="C205" s="40">
        <f t="shared" si="27"/>
        <v>13549607334.625124</v>
      </c>
      <c r="D205" s="41">
        <f>'System Assumptions'!$E$11/12</f>
        <v>75242280</v>
      </c>
      <c r="E205" s="41">
        <f>-'System Assumptions'!$E$10/12</f>
        <v>-133627000</v>
      </c>
      <c r="F205" s="41">
        <f>IF(I204&lt;'System Assumptions'!$E$29,'Hydrological Data Model'!$E$33/12,'Hydrological Data Model'!$E$33/12)</f>
        <v>183636903.52495179</v>
      </c>
      <c r="G205" s="42">
        <f>IF(I204&lt;'System Assumptions'!$E$29,0,-(MIN('Hydrological Data Model'!$E$34,'Hydrological Data Model'!$E$33-'System Assumptions'!$E$12))/12)</f>
        <v>-125252183.52495177</v>
      </c>
      <c r="H205" s="42">
        <f t="shared" si="31"/>
        <v>13549607334.625124</v>
      </c>
      <c r="I205" s="106">
        <f>H205/'System Assumptions'!$F$15</f>
        <v>15.252270619126433</v>
      </c>
      <c r="J205" s="42">
        <f>'System Assumptions'!$E$30+'System Assumptions'!$E$28-'Data Model Calculations'!I205</f>
        <v>64.501329380873571</v>
      </c>
      <c r="K205" s="45">
        <f t="shared" si="33"/>
        <v>56.546352879312437</v>
      </c>
      <c r="L205" s="46">
        <f t="shared" si="28"/>
        <v>766180877719832.38</v>
      </c>
      <c r="M205" s="47">
        <f>D205/1000*('System Assumptions'!$F$20*1000000)</f>
        <v>276691425000.00018</v>
      </c>
      <c r="N205" s="48"/>
      <c r="O205" s="49">
        <f>(F205/1000)*('System Assumptions'!$F$21*1000000)</f>
        <v>6427291623373.3125</v>
      </c>
      <c r="P205" s="49">
        <f t="shared" si="32"/>
        <v>-7082554168506.3262</v>
      </c>
      <c r="Q205" s="48">
        <f t="shared" si="29"/>
        <v>765802306599699.38</v>
      </c>
      <c r="R205" s="53">
        <f t="shared" si="30"/>
        <v>56.518413241595738</v>
      </c>
      <c r="S205" s="52">
        <v>35</v>
      </c>
    </row>
    <row r="206" spans="1:19">
      <c r="A206" s="3">
        <f t="shared" si="34"/>
        <v>17</v>
      </c>
      <c r="B206" s="3">
        <f t="shared" si="26"/>
        <v>204</v>
      </c>
      <c r="C206" s="40">
        <f t="shared" si="27"/>
        <v>13549607334.625124</v>
      </c>
      <c r="D206" s="41">
        <f>'System Assumptions'!$E$11/12</f>
        <v>75242280</v>
      </c>
      <c r="E206" s="41">
        <f>-'System Assumptions'!$E$10/12</f>
        <v>-133627000</v>
      </c>
      <c r="F206" s="41">
        <f>IF(I205&lt;'System Assumptions'!$E$29,'Hydrological Data Model'!$E$33/12,'Hydrological Data Model'!$E$33/12)</f>
        <v>183636903.52495179</v>
      </c>
      <c r="G206" s="42">
        <f>IF(I205&lt;'System Assumptions'!$E$29,0,-(MIN('Hydrological Data Model'!$E$34,'Hydrological Data Model'!$E$33-'System Assumptions'!$E$12))/12)</f>
        <v>-125252183.52495177</v>
      </c>
      <c r="H206" s="42">
        <f t="shared" si="31"/>
        <v>13549607334.625124</v>
      </c>
      <c r="I206" s="106">
        <f>H206/'System Assumptions'!$F$15</f>
        <v>15.252270619126433</v>
      </c>
      <c r="J206" s="42">
        <f>'System Assumptions'!$E$30+'System Assumptions'!$E$28-'Data Model Calculations'!I206</f>
        <v>64.501329380873571</v>
      </c>
      <c r="K206" s="45">
        <f t="shared" si="33"/>
        <v>56.518413241595738</v>
      </c>
      <c r="L206" s="46">
        <f t="shared" si="28"/>
        <v>765802306599699.38</v>
      </c>
      <c r="M206" s="47">
        <f>D206/1000*('System Assumptions'!$F$20*1000000)</f>
        <v>276691425000.00018</v>
      </c>
      <c r="N206" s="48"/>
      <c r="O206" s="49">
        <f>(F206/1000)*('System Assumptions'!$F$21*1000000)</f>
        <v>6427291623373.3125</v>
      </c>
      <c r="P206" s="49">
        <f t="shared" si="32"/>
        <v>-7079054667875.4131</v>
      </c>
      <c r="Q206" s="48">
        <f t="shared" si="29"/>
        <v>765427234980197.38</v>
      </c>
      <c r="R206" s="53">
        <f t="shared" si="30"/>
        <v>56.490731877092763</v>
      </c>
      <c r="S206" s="52">
        <v>35</v>
      </c>
    </row>
    <row r="207" spans="1:19">
      <c r="A207" s="3">
        <f t="shared" si="34"/>
        <v>18</v>
      </c>
      <c r="B207" s="3">
        <f t="shared" si="26"/>
        <v>205</v>
      </c>
      <c r="C207" s="40">
        <f t="shared" si="27"/>
        <v>13549607334.625124</v>
      </c>
      <c r="D207" s="41">
        <f>'System Assumptions'!$E$11/12</f>
        <v>75242280</v>
      </c>
      <c r="E207" s="41">
        <f>-'System Assumptions'!$E$10/12</f>
        <v>-133627000</v>
      </c>
      <c r="F207" s="41">
        <f>IF(I206&lt;'System Assumptions'!$E$29,'Hydrological Data Model'!$E$33/12,'Hydrological Data Model'!$E$33/12)</f>
        <v>183636903.52495179</v>
      </c>
      <c r="G207" s="42">
        <f>IF(I206&lt;'System Assumptions'!$E$29,0,-(MIN('Hydrological Data Model'!$E$34,'Hydrological Data Model'!$E$33-'System Assumptions'!$E$12))/12)</f>
        <v>-125252183.52495177</v>
      </c>
      <c r="H207" s="42">
        <f t="shared" si="31"/>
        <v>13549607334.625124</v>
      </c>
      <c r="I207" s="106">
        <f>H207/'System Assumptions'!$F$15</f>
        <v>15.252270619126433</v>
      </c>
      <c r="J207" s="42">
        <f>'System Assumptions'!$E$30+'System Assumptions'!$E$28-'Data Model Calculations'!I207</f>
        <v>64.501329380873571</v>
      </c>
      <c r="K207" s="45">
        <f t="shared" si="33"/>
        <v>56.490731877092763</v>
      </c>
      <c r="L207" s="46">
        <f t="shared" si="28"/>
        <v>765427234980197.38</v>
      </c>
      <c r="M207" s="47">
        <f>D207/1000*('System Assumptions'!$F$20*1000000)</f>
        <v>276691425000.00018</v>
      </c>
      <c r="N207" s="48"/>
      <c r="O207" s="49">
        <f>(F207/1000)*('System Assumptions'!$F$21*1000000)</f>
        <v>6427291623373.3125</v>
      </c>
      <c r="P207" s="49">
        <f t="shared" si="32"/>
        <v>-7075587516528.4658</v>
      </c>
      <c r="Q207" s="48">
        <f t="shared" si="29"/>
        <v>765055630512042.25</v>
      </c>
      <c r="R207" s="53">
        <f t="shared" si="30"/>
        <v>56.463306398333273</v>
      </c>
      <c r="S207" s="52">
        <v>35</v>
      </c>
    </row>
    <row r="208" spans="1:19">
      <c r="A208" s="3">
        <f t="shared" si="34"/>
        <v>18</v>
      </c>
      <c r="B208" s="3">
        <f t="shared" ref="B208:B271" si="35">B207+1</f>
        <v>206</v>
      </c>
      <c r="C208" s="40">
        <f t="shared" si="27"/>
        <v>13549607334.625124</v>
      </c>
      <c r="D208" s="41">
        <f>'System Assumptions'!$E$11/12</f>
        <v>75242280</v>
      </c>
      <c r="E208" s="41">
        <f>-'System Assumptions'!$E$10/12</f>
        <v>-133627000</v>
      </c>
      <c r="F208" s="41">
        <f>IF(I207&lt;'System Assumptions'!$E$29,'Hydrological Data Model'!$E$33/12,'Hydrological Data Model'!$E$33/12)</f>
        <v>183636903.52495179</v>
      </c>
      <c r="G208" s="42">
        <f>IF(I207&lt;'System Assumptions'!$E$29,0,-(MIN('Hydrological Data Model'!$E$34,'Hydrological Data Model'!$E$33-'System Assumptions'!$E$12))/12)</f>
        <v>-125252183.52495177</v>
      </c>
      <c r="H208" s="42">
        <f t="shared" si="31"/>
        <v>13549607334.625124</v>
      </c>
      <c r="I208" s="106">
        <f>H208/'System Assumptions'!$F$15</f>
        <v>15.252270619126433</v>
      </c>
      <c r="J208" s="42">
        <f>'System Assumptions'!$E$30+'System Assumptions'!$E$28-'Data Model Calculations'!I208</f>
        <v>64.501329380873571</v>
      </c>
      <c r="K208" s="45">
        <f t="shared" si="33"/>
        <v>56.463306398333273</v>
      </c>
      <c r="L208" s="46">
        <f t="shared" si="28"/>
        <v>765055630512042.25</v>
      </c>
      <c r="M208" s="47">
        <f>D208/1000*('System Assumptions'!$F$20*1000000)</f>
        <v>276691425000.00018</v>
      </c>
      <c r="N208" s="48"/>
      <c r="O208" s="49">
        <f>(F208/1000)*('System Assumptions'!$F$21*1000000)</f>
        <v>6427291623373.3125</v>
      </c>
      <c r="P208" s="49">
        <f t="shared" si="32"/>
        <v>-7072152415429.6221</v>
      </c>
      <c r="Q208" s="48">
        <f t="shared" si="29"/>
        <v>764687461144985.88</v>
      </c>
      <c r="R208" s="53">
        <f t="shared" si="30"/>
        <v>56.436134439916771</v>
      </c>
      <c r="S208" s="52">
        <v>35</v>
      </c>
    </row>
    <row r="209" spans="1:19">
      <c r="A209" s="3">
        <f t="shared" si="34"/>
        <v>18</v>
      </c>
      <c r="B209" s="3">
        <f t="shared" si="35"/>
        <v>207</v>
      </c>
      <c r="C209" s="40">
        <f t="shared" si="27"/>
        <v>13549607334.625124</v>
      </c>
      <c r="D209" s="41">
        <f>'System Assumptions'!$E$11/12</f>
        <v>75242280</v>
      </c>
      <c r="E209" s="41">
        <f>-'System Assumptions'!$E$10/12</f>
        <v>-133627000</v>
      </c>
      <c r="F209" s="41">
        <f>IF(I208&lt;'System Assumptions'!$E$29,'Hydrological Data Model'!$E$33/12,'Hydrological Data Model'!$E$33/12)</f>
        <v>183636903.52495179</v>
      </c>
      <c r="G209" s="42">
        <f>IF(I208&lt;'System Assumptions'!$E$29,0,-(MIN('Hydrological Data Model'!$E$34,'Hydrological Data Model'!$E$33-'System Assumptions'!$E$12))/12)</f>
        <v>-125252183.52495177</v>
      </c>
      <c r="H209" s="42">
        <f t="shared" si="31"/>
        <v>13549607334.625124</v>
      </c>
      <c r="I209" s="106">
        <f>H209/'System Assumptions'!$F$15</f>
        <v>15.252270619126433</v>
      </c>
      <c r="J209" s="42">
        <f>'System Assumptions'!$E$30+'System Assumptions'!$E$28-'Data Model Calculations'!I209</f>
        <v>64.501329380873571</v>
      </c>
      <c r="K209" s="45">
        <f t="shared" si="33"/>
        <v>56.436134439916771</v>
      </c>
      <c r="L209" s="46">
        <f t="shared" si="28"/>
        <v>764687461144985.88</v>
      </c>
      <c r="M209" s="47">
        <f>D209/1000*('System Assumptions'!$F$20*1000000)</f>
        <v>276691425000.00018</v>
      </c>
      <c r="N209" s="48"/>
      <c r="O209" s="49">
        <f>(F209/1000)*('System Assumptions'!$F$21*1000000)</f>
        <v>6427291623373.3125</v>
      </c>
      <c r="P209" s="49">
        <f t="shared" si="32"/>
        <v>-7068749068307.3057</v>
      </c>
      <c r="Q209" s="48">
        <f t="shared" si="29"/>
        <v>764322695125052</v>
      </c>
      <c r="R209" s="53">
        <f t="shared" si="30"/>
        <v>56.40921365830846</v>
      </c>
      <c r="S209" s="52">
        <v>35</v>
      </c>
    </row>
    <row r="210" spans="1:19">
      <c r="A210" s="3">
        <f t="shared" si="34"/>
        <v>18</v>
      </c>
      <c r="B210" s="3">
        <f t="shared" si="35"/>
        <v>208</v>
      </c>
      <c r="C210" s="40">
        <f t="shared" si="27"/>
        <v>13549607334.625124</v>
      </c>
      <c r="D210" s="41">
        <f>'System Assumptions'!$E$11/12</f>
        <v>75242280</v>
      </c>
      <c r="E210" s="41">
        <f>-'System Assumptions'!$E$10/12</f>
        <v>-133627000</v>
      </c>
      <c r="F210" s="41">
        <f>IF(I209&lt;'System Assumptions'!$E$29,'Hydrological Data Model'!$E$33/12,'Hydrological Data Model'!$E$33/12)</f>
        <v>183636903.52495179</v>
      </c>
      <c r="G210" s="42">
        <f>IF(I209&lt;'System Assumptions'!$E$29,0,-(MIN('Hydrological Data Model'!$E$34,'Hydrological Data Model'!$E$33-'System Assumptions'!$E$12))/12)</f>
        <v>-125252183.52495177</v>
      </c>
      <c r="H210" s="42">
        <f t="shared" si="31"/>
        <v>13549607334.625124</v>
      </c>
      <c r="I210" s="106">
        <f>H210/'System Assumptions'!$F$15</f>
        <v>15.252270619126433</v>
      </c>
      <c r="J210" s="42">
        <f>'System Assumptions'!$E$30+'System Assumptions'!$E$28-'Data Model Calculations'!I210</f>
        <v>64.501329380873571</v>
      </c>
      <c r="K210" s="45">
        <f t="shared" si="33"/>
        <v>56.40921365830846</v>
      </c>
      <c r="L210" s="46">
        <f t="shared" si="28"/>
        <v>764322695125052</v>
      </c>
      <c r="M210" s="47">
        <f>D210/1000*('System Assumptions'!$F$20*1000000)</f>
        <v>276691425000.00018</v>
      </c>
      <c r="N210" s="48"/>
      <c r="O210" s="49">
        <f>(F210/1000)*('System Assumptions'!$F$21*1000000)</f>
        <v>6427291623373.3125</v>
      </c>
      <c r="P210" s="49">
        <f t="shared" si="32"/>
        <v>-7065377181628.667</v>
      </c>
      <c r="Q210" s="48">
        <f t="shared" si="29"/>
        <v>763961300991796.63</v>
      </c>
      <c r="R210" s="53">
        <f t="shared" si="30"/>
        <v>56.382541731637055</v>
      </c>
      <c r="S210" s="52">
        <v>35</v>
      </c>
    </row>
    <row r="211" spans="1:19">
      <c r="A211" s="3">
        <f t="shared" si="34"/>
        <v>18</v>
      </c>
      <c r="B211" s="3">
        <f t="shared" si="35"/>
        <v>209</v>
      </c>
      <c r="C211" s="40">
        <f t="shared" si="27"/>
        <v>13549607334.625124</v>
      </c>
      <c r="D211" s="41">
        <f>'System Assumptions'!$E$11/12</f>
        <v>75242280</v>
      </c>
      <c r="E211" s="41">
        <f>-'System Assumptions'!$E$10/12</f>
        <v>-133627000</v>
      </c>
      <c r="F211" s="41">
        <f>IF(I210&lt;'System Assumptions'!$E$29,'Hydrological Data Model'!$E$33/12,'Hydrological Data Model'!$E$33/12)</f>
        <v>183636903.52495179</v>
      </c>
      <c r="G211" s="42">
        <f>IF(I210&lt;'System Assumptions'!$E$29,0,-(MIN('Hydrological Data Model'!$E$34,'Hydrological Data Model'!$E$33-'System Assumptions'!$E$12))/12)</f>
        <v>-125252183.52495177</v>
      </c>
      <c r="H211" s="42">
        <f t="shared" si="31"/>
        <v>13549607334.625124</v>
      </c>
      <c r="I211" s="106">
        <f>H211/'System Assumptions'!$F$15</f>
        <v>15.252270619126433</v>
      </c>
      <c r="J211" s="42">
        <f>'System Assumptions'!$E$30+'System Assumptions'!$E$28-'Data Model Calculations'!I211</f>
        <v>64.501329380873571</v>
      </c>
      <c r="K211" s="45">
        <f t="shared" si="33"/>
        <v>56.382541731637055</v>
      </c>
      <c r="L211" s="46">
        <f t="shared" si="28"/>
        <v>763961300991796.63</v>
      </c>
      <c r="M211" s="47">
        <f>D211/1000*('System Assumptions'!$F$20*1000000)</f>
        <v>276691425000.00018</v>
      </c>
      <c r="N211" s="48"/>
      <c r="O211" s="49">
        <f>(F211/1000)*('System Assumptions'!$F$21*1000000)</f>
        <v>6427291623373.3125</v>
      </c>
      <c r="P211" s="49">
        <f t="shared" si="32"/>
        <v>-7062036464574.2559</v>
      </c>
      <c r="Q211" s="48">
        <f t="shared" si="29"/>
        <v>763603247575595.75</v>
      </c>
      <c r="R211" s="53">
        <f t="shared" si="30"/>
        <v>56.356116359494656</v>
      </c>
      <c r="S211" s="52">
        <v>35</v>
      </c>
    </row>
    <row r="212" spans="1:19">
      <c r="A212" s="3">
        <f t="shared" si="34"/>
        <v>18</v>
      </c>
      <c r="B212" s="3">
        <f t="shared" si="35"/>
        <v>210</v>
      </c>
      <c r="C212" s="40">
        <f t="shared" si="27"/>
        <v>13549607334.625124</v>
      </c>
      <c r="D212" s="41">
        <f>'System Assumptions'!$E$11/12</f>
        <v>75242280</v>
      </c>
      <c r="E212" s="41">
        <f>-'System Assumptions'!$E$10/12</f>
        <v>-133627000</v>
      </c>
      <c r="F212" s="41">
        <f>IF(I211&lt;'System Assumptions'!$E$29,'Hydrological Data Model'!$E$33/12,'Hydrological Data Model'!$E$33/12)</f>
        <v>183636903.52495179</v>
      </c>
      <c r="G212" s="42">
        <f>IF(I211&lt;'System Assumptions'!$E$29,0,-(MIN('Hydrological Data Model'!$E$34,'Hydrological Data Model'!$E$33-'System Assumptions'!$E$12))/12)</f>
        <v>-125252183.52495177</v>
      </c>
      <c r="H212" s="42">
        <f t="shared" si="31"/>
        <v>13549607334.625124</v>
      </c>
      <c r="I212" s="106">
        <f>H212/'System Assumptions'!$F$15</f>
        <v>15.252270619126433</v>
      </c>
      <c r="J212" s="42">
        <f>'System Assumptions'!$E$30+'System Assumptions'!$E$28-'Data Model Calculations'!I212</f>
        <v>64.501329380873571</v>
      </c>
      <c r="K212" s="45">
        <f t="shared" si="33"/>
        <v>56.356116359494656</v>
      </c>
      <c r="L212" s="46">
        <f t="shared" si="28"/>
        <v>763603247575595.75</v>
      </c>
      <c r="M212" s="47">
        <f>D212/1000*('System Assumptions'!$F$20*1000000)</f>
        <v>276691425000.00018</v>
      </c>
      <c r="N212" s="48"/>
      <c r="O212" s="49">
        <f>(F212/1000)*('System Assumptions'!$F$21*1000000)</f>
        <v>6427291623373.3125</v>
      </c>
      <c r="P212" s="49">
        <f t="shared" si="32"/>
        <v>-7058726629012.9609</v>
      </c>
      <c r="Q212" s="48">
        <f t="shared" si="29"/>
        <v>763248503994956</v>
      </c>
      <c r="R212" s="53">
        <f t="shared" si="30"/>
        <v>56.329935262738211</v>
      </c>
      <c r="S212" s="52">
        <v>35</v>
      </c>
    </row>
    <row r="213" spans="1:19">
      <c r="A213" s="3">
        <f t="shared" si="34"/>
        <v>18</v>
      </c>
      <c r="B213" s="3">
        <f t="shared" si="35"/>
        <v>211</v>
      </c>
      <c r="C213" s="40">
        <f t="shared" si="27"/>
        <v>13549607334.625124</v>
      </c>
      <c r="D213" s="41">
        <f>'System Assumptions'!$E$11/12</f>
        <v>75242280</v>
      </c>
      <c r="E213" s="41">
        <f>-'System Assumptions'!$E$10/12</f>
        <v>-133627000</v>
      </c>
      <c r="F213" s="41">
        <f>IF(I212&lt;'System Assumptions'!$E$29,'Hydrological Data Model'!$E$33/12,'Hydrological Data Model'!$E$33/12)</f>
        <v>183636903.52495179</v>
      </c>
      <c r="G213" s="42">
        <f>IF(I212&lt;'System Assumptions'!$E$29,0,-(MIN('Hydrological Data Model'!$E$34,'Hydrological Data Model'!$E$33-'System Assumptions'!$E$12))/12)</f>
        <v>-125252183.52495177</v>
      </c>
      <c r="H213" s="42">
        <f t="shared" si="31"/>
        <v>13549607334.625124</v>
      </c>
      <c r="I213" s="106">
        <f>H213/'System Assumptions'!$F$15</f>
        <v>15.252270619126433</v>
      </c>
      <c r="J213" s="42">
        <f>'System Assumptions'!$E$30+'System Assumptions'!$E$28-'Data Model Calculations'!I213</f>
        <v>64.501329380873571</v>
      </c>
      <c r="K213" s="45">
        <f t="shared" si="33"/>
        <v>56.329935262738211</v>
      </c>
      <c r="L213" s="46">
        <f t="shared" si="28"/>
        <v>763248503994956</v>
      </c>
      <c r="M213" s="47">
        <f>D213/1000*('System Assumptions'!$F$20*1000000)</f>
        <v>276691425000.00018</v>
      </c>
      <c r="N213" s="48"/>
      <c r="O213" s="49">
        <f>(F213/1000)*('System Assumptions'!$F$21*1000000)</f>
        <v>6427291623373.3125</v>
      </c>
      <c r="P213" s="49">
        <f t="shared" si="32"/>
        <v>-7055447389477.1377</v>
      </c>
      <c r="Q213" s="48">
        <f t="shared" si="29"/>
        <v>762897039653852.13</v>
      </c>
      <c r="R213" s="53">
        <f t="shared" si="30"/>
        <v>56.303996183293023</v>
      </c>
      <c r="S213" s="52">
        <v>35</v>
      </c>
    </row>
    <row r="214" spans="1:19">
      <c r="A214" s="3">
        <f t="shared" si="34"/>
        <v>18</v>
      </c>
      <c r="B214" s="3">
        <f t="shared" si="35"/>
        <v>212</v>
      </c>
      <c r="C214" s="40">
        <f t="shared" si="27"/>
        <v>13549607334.625124</v>
      </c>
      <c r="D214" s="41">
        <f>'System Assumptions'!$E$11/12</f>
        <v>75242280</v>
      </c>
      <c r="E214" s="41">
        <f>-'System Assumptions'!$E$10/12</f>
        <v>-133627000</v>
      </c>
      <c r="F214" s="41">
        <f>IF(I213&lt;'System Assumptions'!$E$29,'Hydrological Data Model'!$E$33/12,'Hydrological Data Model'!$E$33/12)</f>
        <v>183636903.52495179</v>
      </c>
      <c r="G214" s="42">
        <f>IF(I213&lt;'System Assumptions'!$E$29,0,-(MIN('Hydrological Data Model'!$E$34,'Hydrological Data Model'!$E$33-'System Assumptions'!$E$12))/12)</f>
        <v>-125252183.52495177</v>
      </c>
      <c r="H214" s="42">
        <f t="shared" si="31"/>
        <v>13549607334.625124</v>
      </c>
      <c r="I214" s="106">
        <f>H214/'System Assumptions'!$F$15</f>
        <v>15.252270619126433</v>
      </c>
      <c r="J214" s="42">
        <f>'System Assumptions'!$E$30+'System Assumptions'!$E$28-'Data Model Calculations'!I214</f>
        <v>64.501329380873571</v>
      </c>
      <c r="K214" s="45">
        <f t="shared" si="33"/>
        <v>56.303996183293023</v>
      </c>
      <c r="L214" s="46">
        <f t="shared" si="28"/>
        <v>762897039653852.13</v>
      </c>
      <c r="M214" s="47">
        <f>D214/1000*('System Assumptions'!$F$20*1000000)</f>
        <v>276691425000.00018</v>
      </c>
      <c r="N214" s="48"/>
      <c r="O214" s="49">
        <f>(F214/1000)*('System Assumptions'!$F$21*1000000)</f>
        <v>6427291623373.3125</v>
      </c>
      <c r="P214" s="49">
        <f t="shared" si="32"/>
        <v>-7052198463138.001</v>
      </c>
      <c r="Q214" s="48">
        <f t="shared" si="29"/>
        <v>762548824239087.5</v>
      </c>
      <c r="R214" s="53">
        <f t="shared" si="30"/>
        <v>56.278296883957992</v>
      </c>
      <c r="S214" s="52">
        <v>35</v>
      </c>
    </row>
    <row r="215" spans="1:19">
      <c r="A215" s="3">
        <f t="shared" si="34"/>
        <v>18</v>
      </c>
      <c r="B215" s="3">
        <f t="shared" si="35"/>
        <v>213</v>
      </c>
      <c r="C215" s="40">
        <f t="shared" si="27"/>
        <v>13549607334.625124</v>
      </c>
      <c r="D215" s="41">
        <f>'System Assumptions'!$E$11/12</f>
        <v>75242280</v>
      </c>
      <c r="E215" s="41">
        <f>-'System Assumptions'!$E$10/12</f>
        <v>-133627000</v>
      </c>
      <c r="F215" s="41">
        <f>IF(I214&lt;'System Assumptions'!$E$29,'Hydrological Data Model'!$E$33/12,'Hydrological Data Model'!$E$33/12)</f>
        <v>183636903.52495179</v>
      </c>
      <c r="G215" s="42">
        <f>IF(I214&lt;'System Assumptions'!$E$29,0,-(MIN('Hydrological Data Model'!$E$34,'Hydrological Data Model'!$E$33-'System Assumptions'!$E$12))/12)</f>
        <v>-125252183.52495177</v>
      </c>
      <c r="H215" s="42">
        <f t="shared" si="31"/>
        <v>13549607334.625124</v>
      </c>
      <c r="I215" s="106">
        <f>H215/'System Assumptions'!$F$15</f>
        <v>15.252270619126433</v>
      </c>
      <c r="J215" s="42">
        <f>'System Assumptions'!$E$30+'System Assumptions'!$E$28-'Data Model Calculations'!I215</f>
        <v>64.501329380873571</v>
      </c>
      <c r="K215" s="45">
        <f t="shared" si="33"/>
        <v>56.278296883957992</v>
      </c>
      <c r="L215" s="46">
        <f t="shared" si="28"/>
        <v>762548824239087.5</v>
      </c>
      <c r="M215" s="47">
        <f>D215/1000*('System Assumptions'!$F$20*1000000)</f>
        <v>276691425000.00018</v>
      </c>
      <c r="N215" s="48"/>
      <c r="O215" s="49">
        <f>(F215/1000)*('System Assumptions'!$F$21*1000000)</f>
        <v>6427291623373.3125</v>
      </c>
      <c r="P215" s="49">
        <f t="shared" si="32"/>
        <v>-7048979569781.2275</v>
      </c>
      <c r="Q215" s="48">
        <f t="shared" si="29"/>
        <v>762203827717679.5</v>
      </c>
      <c r="R215" s="53">
        <f t="shared" si="30"/>
        <v>56.252835148212604</v>
      </c>
      <c r="S215" s="52">
        <v>35</v>
      </c>
    </row>
    <row r="216" spans="1:19">
      <c r="A216" s="3">
        <f t="shared" si="34"/>
        <v>18</v>
      </c>
      <c r="B216" s="3">
        <f t="shared" si="35"/>
        <v>214</v>
      </c>
      <c r="C216" s="40">
        <f t="shared" si="27"/>
        <v>13549607334.625124</v>
      </c>
      <c r="D216" s="41">
        <f>'System Assumptions'!$E$11/12</f>
        <v>75242280</v>
      </c>
      <c r="E216" s="41">
        <f>-'System Assumptions'!$E$10/12</f>
        <v>-133627000</v>
      </c>
      <c r="F216" s="41">
        <f>IF(I215&lt;'System Assumptions'!$E$29,'Hydrological Data Model'!$E$33/12,'Hydrological Data Model'!$E$33/12)</f>
        <v>183636903.52495179</v>
      </c>
      <c r="G216" s="42">
        <f>IF(I215&lt;'System Assumptions'!$E$29,0,-(MIN('Hydrological Data Model'!$E$34,'Hydrological Data Model'!$E$33-'System Assumptions'!$E$12))/12)</f>
        <v>-125252183.52495177</v>
      </c>
      <c r="H216" s="42">
        <f t="shared" si="31"/>
        <v>13549607334.625124</v>
      </c>
      <c r="I216" s="106">
        <f>H216/'System Assumptions'!$F$15</f>
        <v>15.252270619126433</v>
      </c>
      <c r="J216" s="42">
        <f>'System Assumptions'!$E$30+'System Assumptions'!$E$28-'Data Model Calculations'!I216</f>
        <v>64.501329380873571</v>
      </c>
      <c r="K216" s="45">
        <f t="shared" si="33"/>
        <v>56.252835148212604</v>
      </c>
      <c r="L216" s="46">
        <f t="shared" si="28"/>
        <v>762203827717679.5</v>
      </c>
      <c r="M216" s="47">
        <f>D216/1000*('System Assumptions'!$F$20*1000000)</f>
        <v>276691425000.00018</v>
      </c>
      <c r="N216" s="48"/>
      <c r="O216" s="49">
        <f>(F216/1000)*('System Assumptions'!$F$21*1000000)</f>
        <v>6427291623373.3125</v>
      </c>
      <c r="P216" s="49">
        <f t="shared" si="32"/>
        <v>-7045790431782.7822</v>
      </c>
      <c r="Q216" s="48">
        <f t="shared" si="29"/>
        <v>761862020334270</v>
      </c>
      <c r="R216" s="53">
        <f t="shared" si="30"/>
        <v>56.227608780025825</v>
      </c>
      <c r="S216" s="52">
        <v>35</v>
      </c>
    </row>
    <row r="217" spans="1:19">
      <c r="A217" s="3">
        <f t="shared" si="34"/>
        <v>18</v>
      </c>
      <c r="B217" s="3">
        <f t="shared" si="35"/>
        <v>215</v>
      </c>
      <c r="C217" s="40">
        <f t="shared" si="27"/>
        <v>13549607334.625124</v>
      </c>
      <c r="D217" s="41">
        <f>'System Assumptions'!$E$11/12</f>
        <v>75242280</v>
      </c>
      <c r="E217" s="41">
        <f>-'System Assumptions'!$E$10/12</f>
        <v>-133627000</v>
      </c>
      <c r="F217" s="41">
        <f>IF(I216&lt;'System Assumptions'!$E$29,'Hydrological Data Model'!$E$33/12,'Hydrological Data Model'!$E$33/12)</f>
        <v>183636903.52495179</v>
      </c>
      <c r="G217" s="42">
        <f>IF(I216&lt;'System Assumptions'!$E$29,0,-(MIN('Hydrological Data Model'!$E$34,'Hydrological Data Model'!$E$33-'System Assumptions'!$E$12))/12)</f>
        <v>-125252183.52495177</v>
      </c>
      <c r="H217" s="42">
        <f t="shared" si="31"/>
        <v>13549607334.625124</v>
      </c>
      <c r="I217" s="106">
        <f>H217/'System Assumptions'!$F$15</f>
        <v>15.252270619126433</v>
      </c>
      <c r="J217" s="42">
        <f>'System Assumptions'!$E$30+'System Assumptions'!$E$28-'Data Model Calculations'!I217</f>
        <v>64.501329380873571</v>
      </c>
      <c r="K217" s="45">
        <f t="shared" si="33"/>
        <v>56.227608780025825</v>
      </c>
      <c r="L217" s="46">
        <f t="shared" si="28"/>
        <v>761862020334270</v>
      </c>
      <c r="M217" s="47">
        <f>D217/1000*('System Assumptions'!$F$20*1000000)</f>
        <v>276691425000.00018</v>
      </c>
      <c r="N217" s="48"/>
      <c r="O217" s="49">
        <f>(F217/1000)*('System Assumptions'!$F$21*1000000)</f>
        <v>6427291623373.3125</v>
      </c>
      <c r="P217" s="49">
        <f t="shared" si="32"/>
        <v>-7042630774084.9844</v>
      </c>
      <c r="Q217" s="48">
        <f t="shared" si="29"/>
        <v>761523372608558.25</v>
      </c>
      <c r="R217" s="53">
        <f t="shared" si="30"/>
        <v>56.202615603666658</v>
      </c>
      <c r="S217" s="52">
        <v>35</v>
      </c>
    </row>
    <row r="218" spans="1:19">
      <c r="A218" s="3">
        <f t="shared" si="34"/>
        <v>18</v>
      </c>
      <c r="B218" s="3">
        <f t="shared" si="35"/>
        <v>216</v>
      </c>
      <c r="C218" s="40">
        <f t="shared" si="27"/>
        <v>13549607334.625124</v>
      </c>
      <c r="D218" s="41">
        <f>'System Assumptions'!$E$11/12</f>
        <v>75242280</v>
      </c>
      <c r="E218" s="41">
        <f>-'System Assumptions'!$E$10/12</f>
        <v>-133627000</v>
      </c>
      <c r="F218" s="41">
        <f>IF(I217&lt;'System Assumptions'!$E$29,'Hydrological Data Model'!$E$33/12,'Hydrological Data Model'!$E$33/12)</f>
        <v>183636903.52495179</v>
      </c>
      <c r="G218" s="42">
        <f>IF(I217&lt;'System Assumptions'!$E$29,0,-(MIN('Hydrological Data Model'!$E$34,'Hydrological Data Model'!$E$33-'System Assumptions'!$E$12))/12)</f>
        <v>-125252183.52495177</v>
      </c>
      <c r="H218" s="42">
        <f t="shared" si="31"/>
        <v>13549607334.625124</v>
      </c>
      <c r="I218" s="106">
        <f>H218/'System Assumptions'!$F$15</f>
        <v>15.252270619126433</v>
      </c>
      <c r="J218" s="42">
        <f>'System Assumptions'!$E$30+'System Assumptions'!$E$28-'Data Model Calculations'!I218</f>
        <v>64.501329380873571</v>
      </c>
      <c r="K218" s="45">
        <f t="shared" si="33"/>
        <v>56.202615603666658</v>
      </c>
      <c r="L218" s="46">
        <f t="shared" si="28"/>
        <v>761523372608558.25</v>
      </c>
      <c r="M218" s="47">
        <f>D218/1000*('System Assumptions'!$F$20*1000000)</f>
        <v>276691425000.00018</v>
      </c>
      <c r="N218" s="48"/>
      <c r="O218" s="49">
        <f>(F218/1000)*('System Assumptions'!$F$21*1000000)</f>
        <v>6427291623373.3125</v>
      </c>
      <c r="P218" s="49">
        <f t="shared" si="32"/>
        <v>-7039500324172.7744</v>
      </c>
      <c r="Q218" s="48">
        <f t="shared" si="29"/>
        <v>761187855332758.75</v>
      </c>
      <c r="R218" s="53">
        <f t="shared" si="30"/>
        <v>56.177853463516513</v>
      </c>
      <c r="S218" s="52">
        <v>35</v>
      </c>
    </row>
    <row r="219" spans="1:19">
      <c r="A219" s="3">
        <f t="shared" si="34"/>
        <v>19</v>
      </c>
      <c r="B219" s="3">
        <f t="shared" si="35"/>
        <v>217</v>
      </c>
      <c r="C219" s="40">
        <f t="shared" si="27"/>
        <v>13549607334.625124</v>
      </c>
      <c r="D219" s="41">
        <f>'System Assumptions'!$E$11/12</f>
        <v>75242280</v>
      </c>
      <c r="E219" s="41">
        <f>-'System Assumptions'!$E$10/12</f>
        <v>-133627000</v>
      </c>
      <c r="F219" s="41">
        <f>IF(I218&lt;'System Assumptions'!$E$29,'Hydrological Data Model'!$E$33/12,'Hydrological Data Model'!$E$33/12)</f>
        <v>183636903.52495179</v>
      </c>
      <c r="G219" s="42">
        <f>IF(I218&lt;'System Assumptions'!$E$29,0,-(MIN('Hydrological Data Model'!$E$34,'Hydrological Data Model'!$E$33-'System Assumptions'!$E$12))/12)</f>
        <v>-125252183.52495177</v>
      </c>
      <c r="H219" s="42">
        <f t="shared" si="31"/>
        <v>13549607334.625124</v>
      </c>
      <c r="I219" s="106">
        <f>H219/'System Assumptions'!$F$15</f>
        <v>15.252270619126433</v>
      </c>
      <c r="J219" s="42">
        <f>'System Assumptions'!$E$30+'System Assumptions'!$E$28-'Data Model Calculations'!I219</f>
        <v>64.501329380873571</v>
      </c>
      <c r="K219" s="45">
        <f t="shared" si="33"/>
        <v>56.177853463516513</v>
      </c>
      <c r="L219" s="46">
        <f t="shared" si="28"/>
        <v>761187855332758.75</v>
      </c>
      <c r="M219" s="47">
        <f>D219/1000*('System Assumptions'!$F$20*1000000)</f>
        <v>276691425000.00018</v>
      </c>
      <c r="N219" s="48"/>
      <c r="O219" s="49">
        <f>(F219/1000)*('System Assumptions'!$F$21*1000000)</f>
        <v>6427291623373.3125</v>
      </c>
      <c r="P219" s="49">
        <f t="shared" si="32"/>
        <v>-7036398812050.2168</v>
      </c>
      <c r="Q219" s="48">
        <f t="shared" si="29"/>
        <v>760855439569081.75</v>
      </c>
      <c r="R219" s="53">
        <f t="shared" si="30"/>
        <v>56.153320223883242</v>
      </c>
      <c r="S219" s="52">
        <v>35</v>
      </c>
    </row>
    <row r="220" spans="1:19">
      <c r="A220" s="3">
        <f t="shared" si="34"/>
        <v>19</v>
      </c>
      <c r="B220" s="3">
        <f t="shared" si="35"/>
        <v>218</v>
      </c>
      <c r="C220" s="40">
        <f t="shared" si="27"/>
        <v>13549607334.625124</v>
      </c>
      <c r="D220" s="41">
        <f>'System Assumptions'!$E$11/12</f>
        <v>75242280</v>
      </c>
      <c r="E220" s="41">
        <f>-'System Assumptions'!$E$10/12</f>
        <v>-133627000</v>
      </c>
      <c r="F220" s="41">
        <f>IF(I219&lt;'System Assumptions'!$E$29,'Hydrological Data Model'!$E$33/12,'Hydrological Data Model'!$E$33/12)</f>
        <v>183636903.52495179</v>
      </c>
      <c r="G220" s="42">
        <f>IF(I219&lt;'System Assumptions'!$E$29,0,-(MIN('Hydrological Data Model'!$E$34,'Hydrological Data Model'!$E$33-'System Assumptions'!$E$12))/12)</f>
        <v>-125252183.52495177</v>
      </c>
      <c r="H220" s="42">
        <f t="shared" si="31"/>
        <v>13549607334.625124</v>
      </c>
      <c r="I220" s="106">
        <f>H220/'System Assumptions'!$F$15</f>
        <v>15.252270619126433</v>
      </c>
      <c r="J220" s="42">
        <f>'System Assumptions'!$E$30+'System Assumptions'!$E$28-'Data Model Calculations'!I220</f>
        <v>64.501329380873571</v>
      </c>
      <c r="K220" s="45">
        <f t="shared" si="33"/>
        <v>56.153320223883242</v>
      </c>
      <c r="L220" s="46">
        <f t="shared" si="28"/>
        <v>760855439569081.75</v>
      </c>
      <c r="M220" s="47">
        <f>D220/1000*('System Assumptions'!$F$20*1000000)</f>
        <v>276691425000.00018</v>
      </c>
      <c r="N220" s="48"/>
      <c r="O220" s="49">
        <f>(F220/1000)*('System Assumptions'!$F$21*1000000)</f>
        <v>6427291623373.3125</v>
      </c>
      <c r="P220" s="49">
        <f t="shared" si="32"/>
        <v>-7033325970217.209</v>
      </c>
      <c r="Q220" s="48">
        <f t="shared" si="29"/>
        <v>760526096647237.75</v>
      </c>
      <c r="R220" s="53">
        <f t="shared" si="30"/>
        <v>56.129013768817025</v>
      </c>
      <c r="S220" s="52">
        <v>35</v>
      </c>
    </row>
    <row r="221" spans="1:19">
      <c r="A221" s="3">
        <f t="shared" si="34"/>
        <v>19</v>
      </c>
      <c r="B221" s="3">
        <f t="shared" si="35"/>
        <v>219</v>
      </c>
      <c r="C221" s="40">
        <f t="shared" si="27"/>
        <v>13549607334.625124</v>
      </c>
      <c r="D221" s="41">
        <f>'System Assumptions'!$E$11/12</f>
        <v>75242280</v>
      </c>
      <c r="E221" s="41">
        <f>-'System Assumptions'!$E$10/12</f>
        <v>-133627000</v>
      </c>
      <c r="F221" s="41">
        <f>IF(I220&lt;'System Assumptions'!$E$29,'Hydrological Data Model'!$E$33/12,'Hydrological Data Model'!$E$33/12)</f>
        <v>183636903.52495179</v>
      </c>
      <c r="G221" s="42">
        <f>IF(I220&lt;'System Assumptions'!$E$29,0,-(MIN('Hydrological Data Model'!$E$34,'Hydrological Data Model'!$E$33-'System Assumptions'!$E$12))/12)</f>
        <v>-125252183.52495177</v>
      </c>
      <c r="H221" s="42">
        <f t="shared" si="31"/>
        <v>13549607334.625124</v>
      </c>
      <c r="I221" s="106">
        <f>H221/'System Assumptions'!$F$15</f>
        <v>15.252270619126433</v>
      </c>
      <c r="J221" s="42">
        <f>'System Assumptions'!$E$30+'System Assumptions'!$E$28-'Data Model Calculations'!I221</f>
        <v>64.501329380873571</v>
      </c>
      <c r="K221" s="45">
        <f t="shared" si="33"/>
        <v>56.129013768817025</v>
      </c>
      <c r="L221" s="46">
        <f t="shared" si="28"/>
        <v>760526096647237.75</v>
      </c>
      <c r="M221" s="47">
        <f>D221/1000*('System Assumptions'!$F$20*1000000)</f>
        <v>276691425000.00018</v>
      </c>
      <c r="N221" s="48"/>
      <c r="O221" s="49">
        <f>(F221/1000)*('System Assumptions'!$F$21*1000000)</f>
        <v>6427291623373.3125</v>
      </c>
      <c r="P221" s="49">
        <f t="shared" si="32"/>
        <v>-7030281533646.415</v>
      </c>
      <c r="Q221" s="48">
        <f t="shared" si="29"/>
        <v>760199798161964.63</v>
      </c>
      <c r="R221" s="53">
        <f t="shared" si="30"/>
        <v>56.104932001927793</v>
      </c>
      <c r="S221" s="52">
        <v>35</v>
      </c>
    </row>
    <row r="222" spans="1:19">
      <c r="A222" s="3">
        <f t="shared" si="34"/>
        <v>19</v>
      </c>
      <c r="B222" s="3">
        <f t="shared" si="35"/>
        <v>220</v>
      </c>
      <c r="C222" s="40">
        <f t="shared" si="27"/>
        <v>13549607334.625124</v>
      </c>
      <c r="D222" s="41">
        <f>'System Assumptions'!$E$11/12</f>
        <v>75242280</v>
      </c>
      <c r="E222" s="41">
        <f>-'System Assumptions'!$E$10/12</f>
        <v>-133627000</v>
      </c>
      <c r="F222" s="41">
        <f>IF(I221&lt;'System Assumptions'!$E$29,'Hydrological Data Model'!$E$33/12,'Hydrological Data Model'!$E$33/12)</f>
        <v>183636903.52495179</v>
      </c>
      <c r="G222" s="42">
        <f>IF(I221&lt;'System Assumptions'!$E$29,0,-(MIN('Hydrological Data Model'!$E$34,'Hydrological Data Model'!$E$33-'System Assumptions'!$E$12))/12)</f>
        <v>-125252183.52495177</v>
      </c>
      <c r="H222" s="42">
        <f t="shared" si="31"/>
        <v>13549607334.625124</v>
      </c>
      <c r="I222" s="106">
        <f>H222/'System Assumptions'!$F$15</f>
        <v>15.252270619126433</v>
      </c>
      <c r="J222" s="42">
        <f>'System Assumptions'!$E$30+'System Assumptions'!$E$28-'Data Model Calculations'!I222</f>
        <v>64.501329380873571</v>
      </c>
      <c r="K222" s="45">
        <f t="shared" si="33"/>
        <v>56.104932001927793</v>
      </c>
      <c r="L222" s="46">
        <f t="shared" si="28"/>
        <v>760199798161964.63</v>
      </c>
      <c r="M222" s="47">
        <f>D222/1000*('System Assumptions'!$F$20*1000000)</f>
        <v>276691425000.00018</v>
      </c>
      <c r="N222" s="48"/>
      <c r="O222" s="49">
        <f>(F222/1000)*('System Assumptions'!$F$21*1000000)</f>
        <v>6427291623373.3125</v>
      </c>
      <c r="P222" s="49">
        <f t="shared" si="32"/>
        <v>-7027265239760.3994</v>
      </c>
      <c r="Q222" s="48">
        <f t="shared" si="29"/>
        <v>759876515970577.63</v>
      </c>
      <c r="R222" s="53">
        <f t="shared" si="30"/>
        <v>56.081072846204449</v>
      </c>
      <c r="S222" s="52">
        <v>35</v>
      </c>
    </row>
    <row r="223" spans="1:19">
      <c r="A223" s="3">
        <f t="shared" si="34"/>
        <v>19</v>
      </c>
      <c r="B223" s="3">
        <f t="shared" si="35"/>
        <v>221</v>
      </c>
      <c r="C223" s="40">
        <f t="shared" si="27"/>
        <v>13549607334.625124</v>
      </c>
      <c r="D223" s="41">
        <f>'System Assumptions'!$E$11/12</f>
        <v>75242280</v>
      </c>
      <c r="E223" s="41">
        <f>-'System Assumptions'!$E$10/12</f>
        <v>-133627000</v>
      </c>
      <c r="F223" s="41">
        <f>IF(I222&lt;'System Assumptions'!$E$29,'Hydrological Data Model'!$E$33/12,'Hydrological Data Model'!$E$33/12)</f>
        <v>183636903.52495179</v>
      </c>
      <c r="G223" s="42">
        <f>IF(I222&lt;'System Assumptions'!$E$29,0,-(MIN('Hydrological Data Model'!$E$34,'Hydrological Data Model'!$E$33-'System Assumptions'!$E$12))/12)</f>
        <v>-125252183.52495177</v>
      </c>
      <c r="H223" s="42">
        <f t="shared" si="31"/>
        <v>13549607334.625124</v>
      </c>
      <c r="I223" s="106">
        <f>H223/'System Assumptions'!$F$15</f>
        <v>15.252270619126433</v>
      </c>
      <c r="J223" s="42">
        <f>'System Assumptions'!$E$30+'System Assumptions'!$E$28-'Data Model Calculations'!I223</f>
        <v>64.501329380873571</v>
      </c>
      <c r="K223" s="45">
        <f t="shared" si="33"/>
        <v>56.081072846204449</v>
      </c>
      <c r="L223" s="46">
        <f t="shared" si="28"/>
        <v>759876515970577.63</v>
      </c>
      <c r="M223" s="47">
        <f>D223/1000*('System Assumptions'!$F$20*1000000)</f>
        <v>276691425000.00018</v>
      </c>
      <c r="N223" s="48"/>
      <c r="O223" s="49">
        <f>(F223/1000)*('System Assumptions'!$F$21*1000000)</f>
        <v>6427291623373.3125</v>
      </c>
      <c r="P223" s="49">
        <f t="shared" si="32"/>
        <v>-7024276828408.9893</v>
      </c>
      <c r="Q223" s="48">
        <f t="shared" si="29"/>
        <v>759556222190542</v>
      </c>
      <c r="R223" s="53">
        <f t="shared" si="30"/>
        <v>56.057434243835715</v>
      </c>
      <c r="S223" s="52">
        <v>35</v>
      </c>
    </row>
    <row r="224" spans="1:19">
      <c r="A224" s="3">
        <f t="shared" si="34"/>
        <v>19</v>
      </c>
      <c r="B224" s="3">
        <f t="shared" si="35"/>
        <v>222</v>
      </c>
      <c r="C224" s="40">
        <f t="shared" si="27"/>
        <v>13549607334.625124</v>
      </c>
      <c r="D224" s="41">
        <f>'System Assumptions'!$E$11/12</f>
        <v>75242280</v>
      </c>
      <c r="E224" s="41">
        <f>-'System Assumptions'!$E$10/12</f>
        <v>-133627000</v>
      </c>
      <c r="F224" s="41">
        <f>IF(I223&lt;'System Assumptions'!$E$29,'Hydrological Data Model'!$E$33/12,'Hydrological Data Model'!$E$33/12)</f>
        <v>183636903.52495179</v>
      </c>
      <c r="G224" s="42">
        <f>IF(I223&lt;'System Assumptions'!$E$29,0,-(MIN('Hydrological Data Model'!$E$34,'Hydrological Data Model'!$E$33-'System Assumptions'!$E$12))/12)</f>
        <v>-125252183.52495177</v>
      </c>
      <c r="H224" s="42">
        <f t="shared" si="31"/>
        <v>13549607334.625124</v>
      </c>
      <c r="I224" s="106">
        <f>H224/'System Assumptions'!$F$15</f>
        <v>15.252270619126433</v>
      </c>
      <c r="J224" s="42">
        <f>'System Assumptions'!$E$30+'System Assumptions'!$E$28-'Data Model Calculations'!I224</f>
        <v>64.501329380873571</v>
      </c>
      <c r="K224" s="45">
        <f t="shared" si="33"/>
        <v>56.057434243835715</v>
      </c>
      <c r="L224" s="46">
        <f t="shared" si="28"/>
        <v>759556222190542</v>
      </c>
      <c r="M224" s="47">
        <f>D224/1000*('System Assumptions'!$F$20*1000000)</f>
        <v>276691425000.00018</v>
      </c>
      <c r="N224" s="48"/>
      <c r="O224" s="49">
        <f>(F224/1000)*('System Assumptions'!$F$21*1000000)</f>
        <v>6427291623373.3125</v>
      </c>
      <c r="P224" s="49">
        <f t="shared" si="32"/>
        <v>-7021316041846.8271</v>
      </c>
      <c r="Q224" s="48">
        <f t="shared" si="29"/>
        <v>759238889197068.38</v>
      </c>
      <c r="R224" s="53">
        <f t="shared" si="30"/>
        <v>56.034014156032676</v>
      </c>
      <c r="S224" s="52">
        <v>35</v>
      </c>
    </row>
    <row r="225" spans="1:19">
      <c r="A225" s="3">
        <f t="shared" si="34"/>
        <v>19</v>
      </c>
      <c r="B225" s="3">
        <f t="shared" si="35"/>
        <v>223</v>
      </c>
      <c r="C225" s="40">
        <f t="shared" si="27"/>
        <v>13549607334.625124</v>
      </c>
      <c r="D225" s="41">
        <f>'System Assumptions'!$E$11/12</f>
        <v>75242280</v>
      </c>
      <c r="E225" s="41">
        <f>-'System Assumptions'!$E$10/12</f>
        <v>-133627000</v>
      </c>
      <c r="F225" s="41">
        <f>IF(I224&lt;'System Assumptions'!$E$29,'Hydrological Data Model'!$E$33/12,'Hydrological Data Model'!$E$33/12)</f>
        <v>183636903.52495179</v>
      </c>
      <c r="G225" s="42">
        <f>IF(I224&lt;'System Assumptions'!$E$29,0,-(MIN('Hydrological Data Model'!$E$34,'Hydrological Data Model'!$E$33-'System Assumptions'!$E$12))/12)</f>
        <v>-125252183.52495177</v>
      </c>
      <c r="H225" s="42">
        <f t="shared" si="31"/>
        <v>13549607334.625124</v>
      </c>
      <c r="I225" s="106">
        <f>H225/'System Assumptions'!$F$15</f>
        <v>15.252270619126433</v>
      </c>
      <c r="J225" s="42">
        <f>'System Assumptions'!$E$30+'System Assumptions'!$E$28-'Data Model Calculations'!I225</f>
        <v>64.501329380873571</v>
      </c>
      <c r="K225" s="45">
        <f t="shared" si="33"/>
        <v>56.034014156032676</v>
      </c>
      <c r="L225" s="46">
        <f t="shared" si="28"/>
        <v>759238889197068.38</v>
      </c>
      <c r="M225" s="47">
        <f>D225/1000*('System Assumptions'!$F$20*1000000)</f>
        <v>276691425000.00018</v>
      </c>
      <c r="N225" s="48"/>
      <c r="O225" s="49">
        <f>(F225/1000)*('System Assumptions'!$F$21*1000000)</f>
        <v>6427291623373.3125</v>
      </c>
      <c r="P225" s="49">
        <f t="shared" si="32"/>
        <v>-7018382624711.1504</v>
      </c>
      <c r="Q225" s="48">
        <f t="shared" si="29"/>
        <v>758924489620730.63</v>
      </c>
      <c r="R225" s="53">
        <f t="shared" si="30"/>
        <v>56.010810562852946</v>
      </c>
      <c r="S225" s="52">
        <v>35</v>
      </c>
    </row>
    <row r="226" spans="1:19">
      <c r="A226" s="3">
        <f t="shared" si="34"/>
        <v>19</v>
      </c>
      <c r="B226" s="3">
        <f t="shared" si="35"/>
        <v>224</v>
      </c>
      <c r="C226" s="40">
        <f t="shared" si="27"/>
        <v>13549607334.625124</v>
      </c>
      <c r="D226" s="41">
        <f>'System Assumptions'!$E$11/12</f>
        <v>75242280</v>
      </c>
      <c r="E226" s="41">
        <f>-'System Assumptions'!$E$10/12</f>
        <v>-133627000</v>
      </c>
      <c r="F226" s="41">
        <f>IF(I225&lt;'System Assumptions'!$E$29,'Hydrological Data Model'!$E$33/12,'Hydrological Data Model'!$E$33/12)</f>
        <v>183636903.52495179</v>
      </c>
      <c r="G226" s="42">
        <f>IF(I225&lt;'System Assumptions'!$E$29,0,-(MIN('Hydrological Data Model'!$E$34,'Hydrological Data Model'!$E$33-'System Assumptions'!$E$12))/12)</f>
        <v>-125252183.52495177</v>
      </c>
      <c r="H226" s="42">
        <f t="shared" si="31"/>
        <v>13549607334.625124</v>
      </c>
      <c r="I226" s="106">
        <f>H226/'System Assumptions'!$F$15</f>
        <v>15.252270619126433</v>
      </c>
      <c r="J226" s="42">
        <f>'System Assumptions'!$E$30+'System Assumptions'!$E$28-'Data Model Calculations'!I226</f>
        <v>64.501329380873571</v>
      </c>
      <c r="K226" s="45">
        <f t="shared" si="33"/>
        <v>56.010810562852946</v>
      </c>
      <c r="L226" s="46">
        <f t="shared" si="28"/>
        <v>758924489620730.63</v>
      </c>
      <c r="M226" s="47">
        <f>D226/1000*('System Assumptions'!$F$20*1000000)</f>
        <v>276691425000.00018</v>
      </c>
      <c r="N226" s="48"/>
      <c r="O226" s="49">
        <f>(F226/1000)*('System Assumptions'!$F$21*1000000)</f>
        <v>6427291623373.3125</v>
      </c>
      <c r="P226" s="49">
        <f t="shared" si="32"/>
        <v>-7015476323999.7637</v>
      </c>
      <c r="Q226" s="48">
        <f t="shared" si="29"/>
        <v>758612996345104.25</v>
      </c>
      <c r="R226" s="53">
        <f t="shared" si="30"/>
        <v>55.987821463026386</v>
      </c>
      <c r="S226" s="52">
        <v>35</v>
      </c>
    </row>
    <row r="227" spans="1:19">
      <c r="A227" s="3">
        <f t="shared" si="34"/>
        <v>19</v>
      </c>
      <c r="B227" s="3">
        <f t="shared" si="35"/>
        <v>225</v>
      </c>
      <c r="C227" s="40">
        <f t="shared" si="27"/>
        <v>13549607334.625124</v>
      </c>
      <c r="D227" s="41">
        <f>'System Assumptions'!$E$11/12</f>
        <v>75242280</v>
      </c>
      <c r="E227" s="41">
        <f>-'System Assumptions'!$E$10/12</f>
        <v>-133627000</v>
      </c>
      <c r="F227" s="41">
        <f>IF(I226&lt;'System Assumptions'!$E$29,'Hydrological Data Model'!$E$33/12,'Hydrological Data Model'!$E$33/12)</f>
        <v>183636903.52495179</v>
      </c>
      <c r="G227" s="42">
        <f>IF(I226&lt;'System Assumptions'!$E$29,0,-(MIN('Hydrological Data Model'!$E$34,'Hydrological Data Model'!$E$33-'System Assumptions'!$E$12))/12)</f>
        <v>-125252183.52495177</v>
      </c>
      <c r="H227" s="42">
        <f t="shared" si="31"/>
        <v>13549607334.625124</v>
      </c>
      <c r="I227" s="106">
        <f>H227/'System Assumptions'!$F$15</f>
        <v>15.252270619126433</v>
      </c>
      <c r="J227" s="42">
        <f>'System Assumptions'!$E$30+'System Assumptions'!$E$28-'Data Model Calculations'!I227</f>
        <v>64.501329380873571</v>
      </c>
      <c r="K227" s="45">
        <f t="shared" si="33"/>
        <v>55.987821463026386</v>
      </c>
      <c r="L227" s="46">
        <f t="shared" si="28"/>
        <v>758612996345104.25</v>
      </c>
      <c r="M227" s="47">
        <f>D227/1000*('System Assumptions'!$F$20*1000000)</f>
        <v>276691425000.00018</v>
      </c>
      <c r="N227" s="48"/>
      <c r="O227" s="49">
        <f>(F227/1000)*('System Assumptions'!$F$21*1000000)</f>
        <v>6427291623373.3125</v>
      </c>
      <c r="P227" s="49">
        <f t="shared" si="32"/>
        <v>-7012596889049.2139</v>
      </c>
      <c r="Q227" s="48">
        <f t="shared" si="29"/>
        <v>758304382504428.25</v>
      </c>
      <c r="R227" s="53">
        <f t="shared" si="30"/>
        <v>55.965044873782553</v>
      </c>
      <c r="S227" s="52">
        <v>35</v>
      </c>
    </row>
    <row r="228" spans="1:19">
      <c r="A228" s="3">
        <f t="shared" si="34"/>
        <v>19</v>
      </c>
      <c r="B228" s="3">
        <f t="shared" si="35"/>
        <v>226</v>
      </c>
      <c r="C228" s="40">
        <f t="shared" si="27"/>
        <v>13549607334.625124</v>
      </c>
      <c r="D228" s="41">
        <f>'System Assumptions'!$E$11/12</f>
        <v>75242280</v>
      </c>
      <c r="E228" s="41">
        <f>-'System Assumptions'!$E$10/12</f>
        <v>-133627000</v>
      </c>
      <c r="F228" s="41">
        <f>IF(I227&lt;'System Assumptions'!$E$29,'Hydrological Data Model'!$E$33/12,'Hydrological Data Model'!$E$33/12)</f>
        <v>183636903.52495179</v>
      </c>
      <c r="G228" s="42">
        <f>IF(I227&lt;'System Assumptions'!$E$29,0,-(MIN('Hydrological Data Model'!$E$34,'Hydrological Data Model'!$E$33-'System Assumptions'!$E$12))/12)</f>
        <v>-125252183.52495177</v>
      </c>
      <c r="H228" s="42">
        <f t="shared" si="31"/>
        <v>13549607334.625124</v>
      </c>
      <c r="I228" s="106">
        <f>H228/'System Assumptions'!$F$15</f>
        <v>15.252270619126433</v>
      </c>
      <c r="J228" s="42">
        <f>'System Assumptions'!$E$30+'System Assumptions'!$E$28-'Data Model Calculations'!I228</f>
        <v>64.501329380873571</v>
      </c>
      <c r="K228" s="45">
        <f t="shared" si="33"/>
        <v>55.965044873782553</v>
      </c>
      <c r="L228" s="46">
        <f t="shared" si="28"/>
        <v>758304382504428.25</v>
      </c>
      <c r="M228" s="47">
        <f>D228/1000*('System Assumptions'!$F$20*1000000)</f>
        <v>276691425000.00018</v>
      </c>
      <c r="N228" s="48"/>
      <c r="O228" s="49">
        <f>(F228/1000)*('System Assumptions'!$F$21*1000000)</f>
        <v>6427291623373.3125</v>
      </c>
      <c r="P228" s="49">
        <f t="shared" si="32"/>
        <v>-7009744071513.1729</v>
      </c>
      <c r="Q228" s="48">
        <f t="shared" si="29"/>
        <v>757998621481288.38</v>
      </c>
      <c r="R228" s="53">
        <f t="shared" si="30"/>
        <v>55.942478830679697</v>
      </c>
      <c r="S228" s="52">
        <v>35</v>
      </c>
    </row>
    <row r="229" spans="1:19">
      <c r="A229" s="3">
        <f t="shared" si="34"/>
        <v>19</v>
      </c>
      <c r="B229" s="3">
        <f t="shared" si="35"/>
        <v>227</v>
      </c>
      <c r="C229" s="40">
        <f t="shared" ref="C229:C242" si="36">H228</f>
        <v>13549607334.625124</v>
      </c>
      <c r="D229" s="41">
        <f>'System Assumptions'!$E$11/12</f>
        <v>75242280</v>
      </c>
      <c r="E229" s="41">
        <f>-'System Assumptions'!$E$10/12</f>
        <v>-133627000</v>
      </c>
      <c r="F229" s="41">
        <f>IF(I228&lt;'System Assumptions'!$E$29,'Hydrological Data Model'!$E$33/12,'Hydrological Data Model'!$E$33/12)</f>
        <v>183636903.52495179</v>
      </c>
      <c r="G229" s="42">
        <f>IF(I228&lt;'System Assumptions'!$E$29,0,-(MIN('Hydrological Data Model'!$E$34,'Hydrological Data Model'!$E$33-'System Assumptions'!$E$12))/12)</f>
        <v>-125252183.52495177</v>
      </c>
      <c r="H229" s="42">
        <f t="shared" si="31"/>
        <v>13549607334.625124</v>
      </c>
      <c r="I229" s="106">
        <f>H229/'System Assumptions'!$F$15</f>
        <v>15.252270619126433</v>
      </c>
      <c r="J229" s="42">
        <f>'System Assumptions'!$E$30+'System Assumptions'!$E$28-'Data Model Calculations'!I229</f>
        <v>64.501329380873571</v>
      </c>
      <c r="K229" s="45">
        <f t="shared" si="33"/>
        <v>55.942478830679697</v>
      </c>
      <c r="L229" s="46">
        <f t="shared" ref="L229:L242" si="37">Q228</f>
        <v>757998621481288.38</v>
      </c>
      <c r="M229" s="47">
        <f>D229/1000*('System Assumptions'!$F$20*1000000)</f>
        <v>276691425000.00018</v>
      </c>
      <c r="N229" s="48"/>
      <c r="O229" s="49">
        <f>(F229/1000)*('System Assumptions'!$F$21*1000000)</f>
        <v>6427291623373.3125</v>
      </c>
      <c r="P229" s="49">
        <f t="shared" si="32"/>
        <v>-7006917625341.0225</v>
      </c>
      <c r="Q229" s="48">
        <f t="shared" ref="Q229:Q242" si="38">SUM(L229:P229)</f>
        <v>757695686904320.75</v>
      </c>
      <c r="R229" s="53">
        <f t="shared" ref="R229:R242" si="39">(Q229*1000)/(H229*1000000)</f>
        <v>55.920121387435309</v>
      </c>
      <c r="S229" s="52">
        <v>35</v>
      </c>
    </row>
    <row r="230" spans="1:19">
      <c r="A230" s="3">
        <f t="shared" si="34"/>
        <v>19</v>
      </c>
      <c r="B230" s="3">
        <f t="shared" si="35"/>
        <v>228</v>
      </c>
      <c r="C230" s="40">
        <f t="shared" si="36"/>
        <v>13549607334.625124</v>
      </c>
      <c r="D230" s="41">
        <f>'System Assumptions'!$E$11/12</f>
        <v>75242280</v>
      </c>
      <c r="E230" s="41">
        <f>-'System Assumptions'!$E$10/12</f>
        <v>-133627000</v>
      </c>
      <c r="F230" s="41">
        <f>IF(I229&lt;'System Assumptions'!$E$29,'Hydrological Data Model'!$E$33/12,'Hydrological Data Model'!$E$33/12)</f>
        <v>183636903.52495179</v>
      </c>
      <c r="G230" s="42">
        <f>IF(I229&lt;'System Assumptions'!$E$29,0,-(MIN('Hydrological Data Model'!$E$34,'Hydrological Data Model'!$E$33-'System Assumptions'!$E$12))/12)</f>
        <v>-125252183.52495177</v>
      </c>
      <c r="H230" s="42">
        <f t="shared" si="31"/>
        <v>13549607334.625124</v>
      </c>
      <c r="I230" s="106">
        <f>H230/'System Assumptions'!$F$15</f>
        <v>15.252270619126433</v>
      </c>
      <c r="J230" s="42">
        <f>'System Assumptions'!$E$30+'System Assumptions'!$E$28-'Data Model Calculations'!I230</f>
        <v>64.501329380873571</v>
      </c>
      <c r="K230" s="45">
        <f t="shared" si="33"/>
        <v>55.920121387435309</v>
      </c>
      <c r="L230" s="46">
        <f t="shared" si="37"/>
        <v>757695686904320.75</v>
      </c>
      <c r="M230" s="47">
        <f>D230/1000*('System Assumptions'!$F$20*1000000)</f>
        <v>276691425000.00018</v>
      </c>
      <c r="N230" s="48"/>
      <c r="O230" s="49">
        <f>(F230/1000)*('System Assumptions'!$F$21*1000000)</f>
        <v>6427291623373.3125</v>
      </c>
      <c r="P230" s="49">
        <f t="shared" si="32"/>
        <v>-7004117306756.6279</v>
      </c>
      <c r="Q230" s="48">
        <f t="shared" si="38"/>
        <v>757395552645937.38</v>
      </c>
      <c r="R230" s="53">
        <f t="shared" si="39"/>
        <v>55.897970615758233</v>
      </c>
      <c r="S230" s="52">
        <v>35</v>
      </c>
    </row>
    <row r="231" spans="1:19">
      <c r="A231" s="3">
        <f t="shared" si="34"/>
        <v>20</v>
      </c>
      <c r="B231" s="3">
        <f t="shared" si="35"/>
        <v>229</v>
      </c>
      <c r="C231" s="40">
        <f t="shared" si="36"/>
        <v>13549607334.625124</v>
      </c>
      <c r="D231" s="41">
        <f>'System Assumptions'!$E$11/12</f>
        <v>75242280</v>
      </c>
      <c r="E231" s="41">
        <f>-'System Assumptions'!$E$10/12</f>
        <v>-133627000</v>
      </c>
      <c r="F231" s="41">
        <f>IF(I230&lt;'System Assumptions'!$E$29,'Hydrological Data Model'!$E$33/12,'Hydrological Data Model'!$E$33/12)</f>
        <v>183636903.52495179</v>
      </c>
      <c r="G231" s="42">
        <f>IF(I230&lt;'System Assumptions'!$E$29,0,-(MIN('Hydrological Data Model'!$E$34,'Hydrological Data Model'!$E$33-'System Assumptions'!$E$12))/12)</f>
        <v>-125252183.52495177</v>
      </c>
      <c r="H231" s="42">
        <f t="shared" si="31"/>
        <v>13549607334.625124</v>
      </c>
      <c r="I231" s="106">
        <f>H231/'System Assumptions'!$F$15</f>
        <v>15.252270619126433</v>
      </c>
      <c r="J231" s="42">
        <f>'System Assumptions'!$E$30+'System Assumptions'!$E$28-'Data Model Calculations'!I231</f>
        <v>64.501329380873571</v>
      </c>
      <c r="K231" s="45">
        <f t="shared" si="33"/>
        <v>55.897970615758233</v>
      </c>
      <c r="L231" s="46">
        <f t="shared" si="37"/>
        <v>757395552645937.38</v>
      </c>
      <c r="M231" s="47">
        <f>D231/1000*('System Assumptions'!$F$20*1000000)</f>
        <v>276691425000.00018</v>
      </c>
      <c r="N231" s="48"/>
      <c r="O231" s="49">
        <f>(F231/1000)*('System Assumptions'!$F$21*1000000)</f>
        <v>6427291623373.3125</v>
      </c>
      <c r="P231" s="49">
        <f t="shared" si="32"/>
        <v>-7001342874237.3105</v>
      </c>
      <c r="Q231" s="48">
        <f t="shared" si="38"/>
        <v>757098192820073.5</v>
      </c>
      <c r="R231" s="53">
        <f t="shared" si="39"/>
        <v>55.876024605182408</v>
      </c>
      <c r="S231" s="52">
        <v>35</v>
      </c>
    </row>
    <row r="232" spans="1:19">
      <c r="A232" s="3">
        <f t="shared" si="34"/>
        <v>20</v>
      </c>
      <c r="B232" s="3">
        <f t="shared" si="35"/>
        <v>230</v>
      </c>
      <c r="C232" s="40">
        <f t="shared" si="36"/>
        <v>13549607334.625124</v>
      </c>
      <c r="D232" s="41">
        <f>'System Assumptions'!$E$11/12</f>
        <v>75242280</v>
      </c>
      <c r="E232" s="41">
        <f>-'System Assumptions'!$E$10/12</f>
        <v>-133627000</v>
      </c>
      <c r="F232" s="41">
        <f>IF(I231&lt;'System Assumptions'!$E$29,'Hydrological Data Model'!$E$33/12,'Hydrological Data Model'!$E$33/12)</f>
        <v>183636903.52495179</v>
      </c>
      <c r="G232" s="42">
        <f>IF(I231&lt;'System Assumptions'!$E$29,0,-(MIN('Hydrological Data Model'!$E$34,'Hydrological Data Model'!$E$33-'System Assumptions'!$E$12))/12)</f>
        <v>-125252183.52495177</v>
      </c>
      <c r="H232" s="42">
        <f t="shared" si="31"/>
        <v>13549607334.625124</v>
      </c>
      <c r="I232" s="106">
        <f>H232/'System Assumptions'!$F$15</f>
        <v>15.252270619126433</v>
      </c>
      <c r="J232" s="42">
        <f>'System Assumptions'!$E$30+'System Assumptions'!$E$28-'Data Model Calculations'!I232</f>
        <v>64.501329380873571</v>
      </c>
      <c r="K232" s="45">
        <f t="shared" si="33"/>
        <v>55.876024605182408</v>
      </c>
      <c r="L232" s="46">
        <f t="shared" si="37"/>
        <v>757098192820073.5</v>
      </c>
      <c r="M232" s="47">
        <f>D232/1000*('System Assumptions'!$F$20*1000000)</f>
        <v>276691425000.00018</v>
      </c>
      <c r="N232" s="48"/>
      <c r="O232" s="49">
        <f>(F232/1000)*('System Assumptions'!$F$21*1000000)</f>
        <v>6427291623373.3125</v>
      </c>
      <c r="P232" s="49">
        <f t="shared" si="32"/>
        <v>-6998594088493.0283</v>
      </c>
      <c r="Q232" s="48">
        <f t="shared" si="38"/>
        <v>756803581779953.75</v>
      </c>
      <c r="R232" s="53">
        <f t="shared" si="39"/>
        <v>55.854281462902058</v>
      </c>
      <c r="S232" s="52">
        <v>35</v>
      </c>
    </row>
    <row r="233" spans="1:19">
      <c r="A233" s="3">
        <f t="shared" si="34"/>
        <v>20</v>
      </c>
      <c r="B233" s="3">
        <f t="shared" si="35"/>
        <v>231</v>
      </c>
      <c r="C233" s="40">
        <f t="shared" si="36"/>
        <v>13549607334.625124</v>
      </c>
      <c r="D233" s="41">
        <f>'System Assumptions'!$E$11/12</f>
        <v>75242280</v>
      </c>
      <c r="E233" s="41">
        <f>-'System Assumptions'!$E$10/12</f>
        <v>-133627000</v>
      </c>
      <c r="F233" s="41">
        <f>IF(I232&lt;'System Assumptions'!$E$29,'Hydrological Data Model'!$E$33/12,'Hydrological Data Model'!$E$33/12)</f>
        <v>183636903.52495179</v>
      </c>
      <c r="G233" s="42">
        <f>IF(I232&lt;'System Assumptions'!$E$29,0,-(MIN('Hydrological Data Model'!$E$34,'Hydrological Data Model'!$E$33-'System Assumptions'!$E$12))/12)</f>
        <v>-125252183.52495177</v>
      </c>
      <c r="H233" s="42">
        <f t="shared" si="31"/>
        <v>13549607334.625124</v>
      </c>
      <c r="I233" s="106">
        <f>H233/'System Assumptions'!$F$15</f>
        <v>15.252270619126433</v>
      </c>
      <c r="J233" s="42">
        <f>'System Assumptions'!$E$30+'System Assumptions'!$E$28-'Data Model Calculations'!I233</f>
        <v>64.501329380873571</v>
      </c>
      <c r="K233" s="45">
        <f t="shared" si="33"/>
        <v>55.854281462902058</v>
      </c>
      <c r="L233" s="46">
        <f t="shared" si="37"/>
        <v>756803581779953.75</v>
      </c>
      <c r="M233" s="47">
        <f>D233/1000*('System Assumptions'!$F$20*1000000)</f>
        <v>276691425000.00018</v>
      </c>
      <c r="N233" s="48"/>
      <c r="O233" s="49">
        <f>(F233/1000)*('System Assumptions'!$F$21*1000000)</f>
        <v>6427291623373.3125</v>
      </c>
      <c r="P233" s="49">
        <f t="shared" si="32"/>
        <v>-6995870712445.7197</v>
      </c>
      <c r="Q233" s="48">
        <f t="shared" si="38"/>
        <v>756511694115881.25</v>
      </c>
      <c r="R233" s="53">
        <f t="shared" si="39"/>
        <v>55.832739313608421</v>
      </c>
      <c r="S233" s="52">
        <v>35</v>
      </c>
    </row>
    <row r="234" spans="1:19">
      <c r="A234" s="3">
        <f t="shared" si="34"/>
        <v>20</v>
      </c>
      <c r="B234" s="3">
        <f t="shared" si="35"/>
        <v>232</v>
      </c>
      <c r="C234" s="40">
        <f t="shared" si="36"/>
        <v>13549607334.625124</v>
      </c>
      <c r="D234" s="41">
        <f>'System Assumptions'!$E$11/12</f>
        <v>75242280</v>
      </c>
      <c r="E234" s="41">
        <f>-'System Assumptions'!$E$10/12</f>
        <v>-133627000</v>
      </c>
      <c r="F234" s="41">
        <f>IF(I233&lt;'System Assumptions'!$E$29,'Hydrological Data Model'!$E$33/12,'Hydrological Data Model'!$E$33/12)</f>
        <v>183636903.52495179</v>
      </c>
      <c r="G234" s="42">
        <f>IF(I233&lt;'System Assumptions'!$E$29,0,-(MIN('Hydrological Data Model'!$E$34,'Hydrological Data Model'!$E$33-'System Assumptions'!$E$12))/12)</f>
        <v>-125252183.52495177</v>
      </c>
      <c r="H234" s="42">
        <f t="shared" si="31"/>
        <v>13549607334.625124</v>
      </c>
      <c r="I234" s="106">
        <f>H234/'System Assumptions'!$F$15</f>
        <v>15.252270619126433</v>
      </c>
      <c r="J234" s="42">
        <f>'System Assumptions'!$E$30+'System Assumptions'!$E$28-'Data Model Calculations'!I234</f>
        <v>64.501329380873571</v>
      </c>
      <c r="K234" s="45">
        <f t="shared" si="33"/>
        <v>55.832739313608421</v>
      </c>
      <c r="L234" s="46">
        <f t="shared" si="37"/>
        <v>756511694115881.25</v>
      </c>
      <c r="M234" s="47">
        <f>D234/1000*('System Assumptions'!$F$20*1000000)</f>
        <v>276691425000.00018</v>
      </c>
      <c r="N234" s="48"/>
      <c r="O234" s="49">
        <f>(F234/1000)*('System Assumptions'!$F$21*1000000)</f>
        <v>6427291623373.3125</v>
      </c>
      <c r="P234" s="49">
        <f t="shared" si="32"/>
        <v>-6993172511208.8711</v>
      </c>
      <c r="Q234" s="48">
        <f t="shared" si="38"/>
        <v>756222504653045.63</v>
      </c>
      <c r="R234" s="53">
        <f t="shared" si="39"/>
        <v>55.811396299328109</v>
      </c>
      <c r="S234" s="52">
        <v>35</v>
      </c>
    </row>
    <row r="235" spans="1:19">
      <c r="A235" s="3">
        <f t="shared" si="34"/>
        <v>20</v>
      </c>
      <c r="B235" s="3">
        <f t="shared" si="35"/>
        <v>233</v>
      </c>
      <c r="C235" s="40">
        <f t="shared" si="36"/>
        <v>13549607334.625124</v>
      </c>
      <c r="D235" s="41">
        <f>'System Assumptions'!$E$11/12</f>
        <v>75242280</v>
      </c>
      <c r="E235" s="41">
        <f>-'System Assumptions'!$E$10/12</f>
        <v>-133627000</v>
      </c>
      <c r="F235" s="41">
        <f>IF(I234&lt;'System Assumptions'!$E$29,'Hydrological Data Model'!$E$33/12,'Hydrological Data Model'!$E$33/12)</f>
        <v>183636903.52495179</v>
      </c>
      <c r="G235" s="42">
        <f>IF(I234&lt;'System Assumptions'!$E$29,0,-(MIN('Hydrological Data Model'!$E$34,'Hydrological Data Model'!$E$33-'System Assumptions'!$E$12))/12)</f>
        <v>-125252183.52495177</v>
      </c>
      <c r="H235" s="42">
        <f t="shared" si="31"/>
        <v>13549607334.625124</v>
      </c>
      <c r="I235" s="106">
        <f>H235/'System Assumptions'!$F$15</f>
        <v>15.252270619126433</v>
      </c>
      <c r="J235" s="42">
        <f>'System Assumptions'!$E$30+'System Assumptions'!$E$28-'Data Model Calculations'!I235</f>
        <v>64.501329380873571</v>
      </c>
      <c r="K235" s="45">
        <f t="shared" si="33"/>
        <v>55.811396299328109</v>
      </c>
      <c r="L235" s="46">
        <f t="shared" si="37"/>
        <v>756222504653045.63</v>
      </c>
      <c r="M235" s="47">
        <f>D235/1000*('System Assumptions'!$F$20*1000000)</f>
        <v>276691425000.00018</v>
      </c>
      <c r="N235" s="48"/>
      <c r="O235" s="49">
        <f>(F235/1000)*('System Assumptions'!$F$21*1000000)</f>
        <v>6427291623373.3125</v>
      </c>
      <c r="P235" s="49">
        <f t="shared" si="32"/>
        <v>-6990499252067.2578</v>
      </c>
      <c r="Q235" s="48">
        <f t="shared" si="38"/>
        <v>755935988449351.75</v>
      </c>
      <c r="R235" s="53">
        <f t="shared" si="39"/>
        <v>55.790250579262725</v>
      </c>
      <c r="S235" s="52">
        <v>35</v>
      </c>
    </row>
    <row r="236" spans="1:19">
      <c r="A236" s="3">
        <f t="shared" si="34"/>
        <v>20</v>
      </c>
      <c r="B236" s="3">
        <f t="shared" si="35"/>
        <v>234</v>
      </c>
      <c r="C236" s="40">
        <f t="shared" si="36"/>
        <v>13549607334.625124</v>
      </c>
      <c r="D236" s="41">
        <f>'System Assumptions'!$E$11/12</f>
        <v>75242280</v>
      </c>
      <c r="E236" s="41">
        <f>-'System Assumptions'!$E$10/12</f>
        <v>-133627000</v>
      </c>
      <c r="F236" s="41">
        <f>IF(I235&lt;'System Assumptions'!$E$29,'Hydrological Data Model'!$E$33/12,'Hydrological Data Model'!$E$33/12)</f>
        <v>183636903.52495179</v>
      </c>
      <c r="G236" s="42">
        <f>IF(I235&lt;'System Assumptions'!$E$29,0,-(MIN('Hydrological Data Model'!$E$34,'Hydrological Data Model'!$E$33-'System Assumptions'!$E$12))/12)</f>
        <v>-125252183.52495177</v>
      </c>
      <c r="H236" s="42">
        <f t="shared" si="31"/>
        <v>13549607334.625124</v>
      </c>
      <c r="I236" s="106">
        <f>H236/'System Assumptions'!$F$15</f>
        <v>15.252270619126433</v>
      </c>
      <c r="J236" s="42">
        <f>'System Assumptions'!$E$30+'System Assumptions'!$E$28-'Data Model Calculations'!I236</f>
        <v>64.501329380873571</v>
      </c>
      <c r="K236" s="45">
        <f t="shared" si="33"/>
        <v>55.790250579262725</v>
      </c>
      <c r="L236" s="46">
        <f t="shared" si="37"/>
        <v>755935988449351.75</v>
      </c>
      <c r="M236" s="47">
        <f>D236/1000*('System Assumptions'!$F$20*1000000)</f>
        <v>276691425000.00018</v>
      </c>
      <c r="N236" s="48"/>
      <c r="O236" s="49">
        <f>(F236/1000)*('System Assumptions'!$F$21*1000000)</f>
        <v>6427291623373.3125</v>
      </c>
      <c r="P236" s="49">
        <f t="shared" si="32"/>
        <v>-6987850704456.8613</v>
      </c>
      <c r="Q236" s="48">
        <f t="shared" si="38"/>
        <v>755652120793268.13</v>
      </c>
      <c r="R236" s="53">
        <f t="shared" si="39"/>
        <v>55.769300329630155</v>
      </c>
      <c r="S236" s="52">
        <v>35</v>
      </c>
    </row>
    <row r="237" spans="1:19">
      <c r="A237" s="3">
        <f t="shared" si="34"/>
        <v>20</v>
      </c>
      <c r="B237" s="3">
        <f t="shared" si="35"/>
        <v>235</v>
      </c>
      <c r="C237" s="40">
        <f t="shared" si="36"/>
        <v>13549607334.625124</v>
      </c>
      <c r="D237" s="41">
        <f>'System Assumptions'!$E$11/12</f>
        <v>75242280</v>
      </c>
      <c r="E237" s="41">
        <f>-'System Assumptions'!$E$10/12</f>
        <v>-133627000</v>
      </c>
      <c r="F237" s="41">
        <f>IF(I236&lt;'System Assumptions'!$E$29,'Hydrological Data Model'!$E$33/12,'Hydrological Data Model'!$E$33/12)</f>
        <v>183636903.52495179</v>
      </c>
      <c r="G237" s="42">
        <f>IF(I236&lt;'System Assumptions'!$E$29,0,-(MIN('Hydrological Data Model'!$E$34,'Hydrological Data Model'!$E$33-'System Assumptions'!$E$12))/12)</f>
        <v>-125252183.52495177</v>
      </c>
      <c r="H237" s="42">
        <f t="shared" si="31"/>
        <v>13549607334.625124</v>
      </c>
      <c r="I237" s="106">
        <f>H237/'System Assumptions'!$F$15</f>
        <v>15.252270619126433</v>
      </c>
      <c r="J237" s="42">
        <f>'System Assumptions'!$E$30+'System Assumptions'!$E$28-'Data Model Calculations'!I237</f>
        <v>64.501329380873571</v>
      </c>
      <c r="K237" s="45">
        <f t="shared" si="33"/>
        <v>55.769300329630155</v>
      </c>
      <c r="L237" s="46">
        <f t="shared" si="37"/>
        <v>755652120793268.13</v>
      </c>
      <c r="M237" s="47">
        <f>D237/1000*('System Assumptions'!$F$20*1000000)</f>
        <v>276691425000.00018</v>
      </c>
      <c r="N237" s="48"/>
      <c r="O237" s="49">
        <f>(F237/1000)*('System Assumptions'!$F$21*1000000)</f>
        <v>6427291623373.3125</v>
      </c>
      <c r="P237" s="49">
        <f t="shared" si="32"/>
        <v>-6985226639944.9893</v>
      </c>
      <c r="Q237" s="48">
        <f t="shared" si="38"/>
        <v>755370877201696.5</v>
      </c>
      <c r="R237" s="53">
        <f t="shared" si="39"/>
        <v>55.748543743507334</v>
      </c>
      <c r="S237" s="52">
        <v>35</v>
      </c>
    </row>
    <row r="238" spans="1:19">
      <c r="A238" s="3">
        <f t="shared" si="34"/>
        <v>20</v>
      </c>
      <c r="B238" s="3">
        <f t="shared" si="35"/>
        <v>236</v>
      </c>
      <c r="C238" s="40">
        <f t="shared" si="36"/>
        <v>13549607334.625124</v>
      </c>
      <c r="D238" s="41">
        <f>'System Assumptions'!$E$11/12</f>
        <v>75242280</v>
      </c>
      <c r="E238" s="41">
        <f>-'System Assumptions'!$E$10/12</f>
        <v>-133627000</v>
      </c>
      <c r="F238" s="41">
        <f>IF(I237&lt;'System Assumptions'!$E$29,'Hydrological Data Model'!$E$33/12,'Hydrological Data Model'!$E$33/12)</f>
        <v>183636903.52495179</v>
      </c>
      <c r="G238" s="42">
        <f>IF(I237&lt;'System Assumptions'!$E$29,0,-(MIN('Hydrological Data Model'!$E$34,'Hydrological Data Model'!$E$33-'System Assumptions'!$E$12))/12)</f>
        <v>-125252183.52495177</v>
      </c>
      <c r="H238" s="42">
        <f t="shared" si="31"/>
        <v>13549607334.625124</v>
      </c>
      <c r="I238" s="106">
        <f>H238/'System Assumptions'!$F$15</f>
        <v>15.252270619126433</v>
      </c>
      <c r="J238" s="42">
        <f>'System Assumptions'!$E$30+'System Assumptions'!$E$28-'Data Model Calculations'!I238</f>
        <v>64.501329380873571</v>
      </c>
      <c r="K238" s="45">
        <f t="shared" si="33"/>
        <v>55.748543743507334</v>
      </c>
      <c r="L238" s="46">
        <f t="shared" si="37"/>
        <v>755370877201696.5</v>
      </c>
      <c r="M238" s="47">
        <f>D238/1000*('System Assumptions'!$F$20*1000000)</f>
        <v>276691425000.00018</v>
      </c>
      <c r="N238" s="48"/>
      <c r="O238" s="49">
        <f>(F238/1000)*('System Assumptions'!$F$21*1000000)</f>
        <v>6427291623373.3125</v>
      </c>
      <c r="P238" s="49">
        <f t="shared" si="32"/>
        <v>-6982626832210.582</v>
      </c>
      <c r="Q238" s="48">
        <f t="shared" si="38"/>
        <v>755092233417859.13</v>
      </c>
      <c r="R238" s="53">
        <f t="shared" si="39"/>
        <v>55.727979030674263</v>
      </c>
      <c r="S238" s="52">
        <v>35</v>
      </c>
    </row>
    <row r="239" spans="1:19">
      <c r="A239" s="3">
        <f t="shared" si="34"/>
        <v>20</v>
      </c>
      <c r="B239" s="3">
        <f t="shared" si="35"/>
        <v>237</v>
      </c>
      <c r="C239" s="40">
        <f t="shared" si="36"/>
        <v>13549607334.625124</v>
      </c>
      <c r="D239" s="41">
        <f>'System Assumptions'!$E$11/12</f>
        <v>75242280</v>
      </c>
      <c r="E239" s="41">
        <f>-'System Assumptions'!$E$10/12</f>
        <v>-133627000</v>
      </c>
      <c r="F239" s="41">
        <f>IF(I238&lt;'System Assumptions'!$E$29,'Hydrological Data Model'!$E$33/12,'Hydrological Data Model'!$E$33/12)</f>
        <v>183636903.52495179</v>
      </c>
      <c r="G239" s="42">
        <f>IF(I238&lt;'System Assumptions'!$E$29,0,-(MIN('Hydrological Data Model'!$E$34,'Hydrological Data Model'!$E$33-'System Assumptions'!$E$12))/12)</f>
        <v>-125252183.52495177</v>
      </c>
      <c r="H239" s="42">
        <f t="shared" si="31"/>
        <v>13549607334.625124</v>
      </c>
      <c r="I239" s="106">
        <f>H239/'System Assumptions'!$F$15</f>
        <v>15.252270619126433</v>
      </c>
      <c r="J239" s="42">
        <f>'System Assumptions'!$E$30+'System Assumptions'!$E$28-'Data Model Calculations'!I239</f>
        <v>64.501329380873571</v>
      </c>
      <c r="K239" s="45">
        <f t="shared" si="33"/>
        <v>55.727979030674263</v>
      </c>
      <c r="L239" s="46">
        <f t="shared" si="37"/>
        <v>755092233417859.13</v>
      </c>
      <c r="M239" s="47">
        <f>D239/1000*('System Assumptions'!$F$20*1000000)</f>
        <v>276691425000.00018</v>
      </c>
      <c r="N239" s="48"/>
      <c r="O239" s="49">
        <f>(F239/1000)*('System Assumptions'!$F$21*1000000)</f>
        <v>6427291623373.3125</v>
      </c>
      <c r="P239" s="49">
        <f t="shared" si="32"/>
        <v>-6980051057024.6758</v>
      </c>
      <c r="Q239" s="48">
        <f t="shared" si="38"/>
        <v>754816165409207.88</v>
      </c>
      <c r="R239" s="53">
        <f t="shared" si="39"/>
        <v>55.707604417459777</v>
      </c>
      <c r="S239" s="52">
        <v>35</v>
      </c>
    </row>
    <row r="240" spans="1:19">
      <c r="A240" s="3">
        <f t="shared" si="34"/>
        <v>20</v>
      </c>
      <c r="B240" s="3">
        <f t="shared" si="35"/>
        <v>238</v>
      </c>
      <c r="C240" s="40">
        <f t="shared" si="36"/>
        <v>13549607334.625124</v>
      </c>
      <c r="D240" s="41">
        <f>'System Assumptions'!$E$11/12</f>
        <v>75242280</v>
      </c>
      <c r="E240" s="41">
        <f>-'System Assumptions'!$E$10/12</f>
        <v>-133627000</v>
      </c>
      <c r="F240" s="41">
        <f>IF(I239&lt;'System Assumptions'!$E$29,'Hydrological Data Model'!$E$33/12,'Hydrological Data Model'!$E$33/12)</f>
        <v>183636903.52495179</v>
      </c>
      <c r="G240" s="42">
        <f>IF(I239&lt;'System Assumptions'!$E$29,0,-(MIN('Hydrological Data Model'!$E$34,'Hydrological Data Model'!$E$33-'System Assumptions'!$E$12))/12)</f>
        <v>-125252183.52495177</v>
      </c>
      <c r="H240" s="42">
        <f t="shared" si="31"/>
        <v>13549607334.625124</v>
      </c>
      <c r="I240" s="106">
        <f>H240/'System Assumptions'!$F$15</f>
        <v>15.252270619126433</v>
      </c>
      <c r="J240" s="42">
        <f>'System Assumptions'!$E$30+'System Assumptions'!$E$28-'Data Model Calculations'!I240</f>
        <v>64.501329380873571</v>
      </c>
      <c r="K240" s="45">
        <f t="shared" si="33"/>
        <v>55.707604417459777</v>
      </c>
      <c r="L240" s="46">
        <f t="shared" si="37"/>
        <v>754816165409207.88</v>
      </c>
      <c r="M240" s="47">
        <f>D240/1000*('System Assumptions'!$F$20*1000000)</f>
        <v>276691425000.00018</v>
      </c>
      <c r="N240" s="48"/>
      <c r="O240" s="49">
        <f>(F240/1000)*('System Assumptions'!$F$21*1000000)</f>
        <v>6427291623373.3125</v>
      </c>
      <c r="P240" s="49">
        <f t="shared" si="32"/>
        <v>-6977499092231.0859</v>
      </c>
      <c r="Q240" s="48">
        <f t="shared" si="38"/>
        <v>754542649365350.13</v>
      </c>
      <c r="R240" s="53">
        <f t="shared" si="39"/>
        <v>55.687418146588378</v>
      </c>
      <c r="S240" s="52">
        <v>35</v>
      </c>
    </row>
    <row r="241" spans="1:19">
      <c r="A241" s="3">
        <f t="shared" si="34"/>
        <v>20</v>
      </c>
      <c r="B241" s="3">
        <f t="shared" si="35"/>
        <v>239</v>
      </c>
      <c r="C241" s="40">
        <f t="shared" si="36"/>
        <v>13549607334.625124</v>
      </c>
      <c r="D241" s="41">
        <f>'System Assumptions'!$E$11/12</f>
        <v>75242280</v>
      </c>
      <c r="E241" s="41">
        <f>-'System Assumptions'!$E$10/12</f>
        <v>-133627000</v>
      </c>
      <c r="F241" s="41">
        <f>IF(I240&lt;'System Assumptions'!$E$29,'Hydrological Data Model'!$E$33/12,'Hydrological Data Model'!$E$33/12)</f>
        <v>183636903.52495179</v>
      </c>
      <c r="G241" s="42">
        <f>IF(I240&lt;'System Assumptions'!$E$29,0,-(MIN('Hydrological Data Model'!$E$34,'Hydrological Data Model'!$E$33-'System Assumptions'!$E$12))/12)</f>
        <v>-125252183.52495177</v>
      </c>
      <c r="H241" s="42">
        <f t="shared" si="31"/>
        <v>13549607334.625124</v>
      </c>
      <c r="I241" s="106">
        <f>H241/'System Assumptions'!$F$15</f>
        <v>15.252270619126433</v>
      </c>
      <c r="J241" s="42">
        <f>'System Assumptions'!$E$30+'System Assumptions'!$E$28-'Data Model Calculations'!I241</f>
        <v>64.501329380873571</v>
      </c>
      <c r="K241" s="45">
        <f t="shared" si="33"/>
        <v>55.687418146588378</v>
      </c>
      <c r="L241" s="46">
        <f t="shared" si="37"/>
        <v>754542649365350.13</v>
      </c>
      <c r="M241" s="47">
        <f>D241/1000*('System Assumptions'!$F$20*1000000)</f>
        <v>276691425000.00018</v>
      </c>
      <c r="N241" s="48"/>
      <c r="O241" s="49">
        <f>(F241/1000)*('System Assumptions'!$F$21*1000000)</f>
        <v>6427291623373.3125</v>
      </c>
      <c r="P241" s="49">
        <f t="shared" si="32"/>
        <v>-6974970717727.2168</v>
      </c>
      <c r="Q241" s="48">
        <f t="shared" si="38"/>
        <v>754271661695996.25</v>
      </c>
      <c r="R241" s="53">
        <f t="shared" si="39"/>
        <v>55.667418477028853</v>
      </c>
      <c r="S241" s="52">
        <v>35</v>
      </c>
    </row>
    <row r="242" spans="1:19">
      <c r="A242" s="3">
        <f t="shared" si="34"/>
        <v>20</v>
      </c>
      <c r="B242" s="3">
        <f t="shared" si="35"/>
        <v>240</v>
      </c>
      <c r="C242" s="40">
        <f t="shared" si="36"/>
        <v>13549607334.625124</v>
      </c>
      <c r="D242" s="41">
        <f>'System Assumptions'!$E$11/12</f>
        <v>75242280</v>
      </c>
      <c r="E242" s="41">
        <f>-'System Assumptions'!$E$10/12</f>
        <v>-133627000</v>
      </c>
      <c r="F242" s="41">
        <f>IF(I241&lt;'System Assumptions'!$E$29,'Hydrological Data Model'!$E$33/12,'Hydrological Data Model'!$E$33/12)</f>
        <v>183636903.52495179</v>
      </c>
      <c r="G242" s="42">
        <f>IF(I241&lt;'System Assumptions'!$E$29,0,-(MIN('Hydrological Data Model'!$E$34,'Hydrological Data Model'!$E$33-'System Assumptions'!$E$12))/12)</f>
        <v>-125252183.52495177</v>
      </c>
      <c r="H242" s="42">
        <f t="shared" si="31"/>
        <v>13549607334.625124</v>
      </c>
      <c r="I242" s="106">
        <f>H242/'System Assumptions'!$F$15</f>
        <v>15.252270619126433</v>
      </c>
      <c r="J242" s="42">
        <f>'System Assumptions'!$E$30+'System Assumptions'!$E$28-'Data Model Calculations'!I242</f>
        <v>64.501329380873571</v>
      </c>
      <c r="K242" s="45">
        <f t="shared" si="33"/>
        <v>55.667418477028853</v>
      </c>
      <c r="L242" s="46">
        <f t="shared" si="37"/>
        <v>754271661695996.25</v>
      </c>
      <c r="M242" s="47">
        <f>D242/1000*('System Assumptions'!$F$20*1000000)</f>
        <v>276691425000.00018</v>
      </c>
      <c r="N242" s="48"/>
      <c r="O242" s="49">
        <f>(F242/1000)*('System Assumptions'!$F$21*1000000)</f>
        <v>6427291623373.3125</v>
      </c>
      <c r="P242" s="49">
        <f t="shared" si="32"/>
        <v>-6972465715445.1094</v>
      </c>
      <c r="Q242" s="48">
        <f t="shared" si="38"/>
        <v>754003179028924.38</v>
      </c>
      <c r="R242" s="53">
        <f t="shared" si="39"/>
        <v>55.647603683843975</v>
      </c>
      <c r="S242" s="52">
        <v>35</v>
      </c>
    </row>
    <row r="243" spans="1:19">
      <c r="A243" s="3">
        <f t="shared" ref="A243:A306" si="40">IF(MOD(B243,12)=1,A242+1,A242)</f>
        <v>21</v>
      </c>
      <c r="B243" s="3">
        <f t="shared" si="35"/>
        <v>241</v>
      </c>
      <c r="C243" s="40">
        <f t="shared" ref="C243:C306" si="41">H242</f>
        <v>13549607334.625124</v>
      </c>
      <c r="D243" s="41">
        <f>'System Assumptions'!$E$11/12</f>
        <v>75242280</v>
      </c>
      <c r="E243" s="41">
        <f>-'System Assumptions'!$E$10/12</f>
        <v>-133627000</v>
      </c>
      <c r="F243" s="41">
        <f>IF(I242&lt;'System Assumptions'!$E$29,'Hydrological Data Model'!$E$33/12,'Hydrological Data Model'!$E$33/12)</f>
        <v>183636903.52495179</v>
      </c>
      <c r="G243" s="42">
        <f>IF(I242&lt;'System Assumptions'!$E$29,0,-(MIN('Hydrological Data Model'!$E$34,'Hydrological Data Model'!$E$33-'System Assumptions'!$E$12))/12)</f>
        <v>-125252183.52495177</v>
      </c>
      <c r="H243" s="42">
        <f t="shared" si="31"/>
        <v>13549607334.625124</v>
      </c>
      <c r="I243" s="106">
        <f>H243/'System Assumptions'!$F$15</f>
        <v>15.252270619126433</v>
      </c>
      <c r="J243" s="42">
        <f>'System Assumptions'!$E$30+'System Assumptions'!$E$28-'Data Model Calculations'!I243</f>
        <v>64.501329380873571</v>
      </c>
      <c r="K243" s="45">
        <f t="shared" si="33"/>
        <v>55.647603683843975</v>
      </c>
      <c r="L243" s="46">
        <f t="shared" ref="L243:L306" si="42">Q242</f>
        <v>754003179028924.38</v>
      </c>
      <c r="M243" s="47">
        <f>D243/1000*('System Assumptions'!$F$20*1000000)</f>
        <v>276691425000.00018</v>
      </c>
      <c r="N243" s="48"/>
      <c r="O243" s="49">
        <f>(F243/1000)*('System Assumptions'!$F$21*1000000)</f>
        <v>6427291623373.3125</v>
      </c>
      <c r="P243" s="49">
        <f t="shared" si="32"/>
        <v>-6969983869332.6084</v>
      </c>
      <c r="Q243" s="48">
        <f t="shared" ref="Q243:Q306" si="43">SUM(L243:P243)</f>
        <v>753737178207965.13</v>
      </c>
      <c r="R243" s="53">
        <f t="shared" ref="R243:R306" si="44">(Q243*1000)/(H243*1000000)</f>
        <v>55.627972058041841</v>
      </c>
      <c r="S243" s="52">
        <v>35</v>
      </c>
    </row>
    <row r="244" spans="1:19">
      <c r="A244" s="3">
        <f t="shared" si="40"/>
        <v>21</v>
      </c>
      <c r="B244" s="3">
        <f t="shared" si="35"/>
        <v>242</v>
      </c>
      <c r="C244" s="40">
        <f t="shared" si="41"/>
        <v>13549607334.625124</v>
      </c>
      <c r="D244" s="41">
        <f>'System Assumptions'!$E$11/12</f>
        <v>75242280</v>
      </c>
      <c r="E244" s="41">
        <f>-'System Assumptions'!$E$10/12</f>
        <v>-133627000</v>
      </c>
      <c r="F244" s="41">
        <f>IF(I243&lt;'System Assumptions'!$E$29,'Hydrological Data Model'!$E$33/12,'Hydrological Data Model'!$E$33/12)</f>
        <v>183636903.52495179</v>
      </c>
      <c r="G244" s="42">
        <f>IF(I243&lt;'System Assumptions'!$E$29,0,-(MIN('Hydrological Data Model'!$E$34,'Hydrological Data Model'!$E$33-'System Assumptions'!$E$12))/12)</f>
        <v>-125252183.52495177</v>
      </c>
      <c r="H244" s="42">
        <f t="shared" si="31"/>
        <v>13549607334.625124</v>
      </c>
      <c r="I244" s="106">
        <f>H244/'System Assumptions'!$F$15</f>
        <v>15.252270619126433</v>
      </c>
      <c r="J244" s="42">
        <f>'System Assumptions'!$E$30+'System Assumptions'!$E$28-'Data Model Calculations'!I244</f>
        <v>64.501329380873571</v>
      </c>
      <c r="K244" s="45">
        <f t="shared" si="33"/>
        <v>55.627972058041841</v>
      </c>
      <c r="L244" s="46">
        <f t="shared" si="42"/>
        <v>753737178207965.13</v>
      </c>
      <c r="M244" s="47">
        <f>D244/1000*('System Assumptions'!$F$20*1000000)</f>
        <v>276691425000.00018</v>
      </c>
      <c r="N244" s="48"/>
      <c r="O244" s="49">
        <f>(F244/1000)*('System Assumptions'!$F$21*1000000)</f>
        <v>6427291623373.3125</v>
      </c>
      <c r="P244" s="49">
        <f t="shared" si="32"/>
        <v>-6967524965334.7451</v>
      </c>
      <c r="Q244" s="48">
        <f t="shared" si="43"/>
        <v>753473636291003.75</v>
      </c>
      <c r="R244" s="53">
        <f t="shared" si="44"/>
        <v>55.608521906428372</v>
      </c>
      <c r="S244" s="52">
        <v>35</v>
      </c>
    </row>
    <row r="245" spans="1:19">
      <c r="A245" s="3">
        <f t="shared" si="40"/>
        <v>21</v>
      </c>
      <c r="B245" s="3">
        <f t="shared" si="35"/>
        <v>243</v>
      </c>
      <c r="C245" s="40">
        <f t="shared" si="41"/>
        <v>13549607334.625124</v>
      </c>
      <c r="D245" s="41">
        <f>'System Assumptions'!$E$11/12</f>
        <v>75242280</v>
      </c>
      <c r="E245" s="41">
        <f>-'System Assumptions'!$E$10/12</f>
        <v>-133627000</v>
      </c>
      <c r="F245" s="41">
        <f>IF(I244&lt;'System Assumptions'!$E$29,'Hydrological Data Model'!$E$33/12,'Hydrological Data Model'!$E$33/12)</f>
        <v>183636903.52495179</v>
      </c>
      <c r="G245" s="42">
        <f>IF(I244&lt;'System Assumptions'!$E$29,0,-(MIN('Hydrological Data Model'!$E$34,'Hydrological Data Model'!$E$33-'System Assumptions'!$E$12))/12)</f>
        <v>-125252183.52495177</v>
      </c>
      <c r="H245" s="42">
        <f t="shared" si="31"/>
        <v>13549607334.625124</v>
      </c>
      <c r="I245" s="106">
        <f>H245/'System Assumptions'!$F$15</f>
        <v>15.252270619126433</v>
      </c>
      <c r="J245" s="42">
        <f>'System Assumptions'!$E$30+'System Assumptions'!$E$28-'Data Model Calculations'!I245</f>
        <v>64.501329380873571</v>
      </c>
      <c r="K245" s="45">
        <f t="shared" si="33"/>
        <v>55.608521906428372</v>
      </c>
      <c r="L245" s="46">
        <f t="shared" si="42"/>
        <v>753473636291003.75</v>
      </c>
      <c r="M245" s="47">
        <f>D245/1000*('System Assumptions'!$F$20*1000000)</f>
        <v>276691425000.00018</v>
      </c>
      <c r="N245" s="48"/>
      <c r="O245" s="49">
        <f>(F245/1000)*('System Assumptions'!$F$21*1000000)</f>
        <v>6427291623373.3125</v>
      </c>
      <c r="P245" s="49">
        <f t="shared" si="32"/>
        <v>-6965088791375.2666</v>
      </c>
      <c r="Q245" s="48">
        <f t="shared" si="43"/>
        <v>753212530548001.75</v>
      </c>
      <c r="R245" s="53">
        <f t="shared" si="44"/>
        <v>55.589251551461352</v>
      </c>
      <c r="S245" s="52">
        <v>35</v>
      </c>
    </row>
    <row r="246" spans="1:19">
      <c r="A246" s="3">
        <f t="shared" si="40"/>
        <v>21</v>
      </c>
      <c r="B246" s="3">
        <f t="shared" si="35"/>
        <v>244</v>
      </c>
      <c r="C246" s="40">
        <f t="shared" si="41"/>
        <v>13549607334.625124</v>
      </c>
      <c r="D246" s="41">
        <f>'System Assumptions'!$E$11/12</f>
        <v>75242280</v>
      </c>
      <c r="E246" s="41">
        <f>-'System Assumptions'!$E$10/12</f>
        <v>-133627000</v>
      </c>
      <c r="F246" s="41">
        <f>IF(I245&lt;'System Assumptions'!$E$29,'Hydrological Data Model'!$E$33/12,'Hydrological Data Model'!$E$33/12)</f>
        <v>183636903.52495179</v>
      </c>
      <c r="G246" s="42">
        <f>IF(I245&lt;'System Assumptions'!$E$29,0,-(MIN('Hydrological Data Model'!$E$34,'Hydrological Data Model'!$E$33-'System Assumptions'!$E$12))/12)</f>
        <v>-125252183.52495177</v>
      </c>
      <c r="H246" s="42">
        <f t="shared" si="31"/>
        <v>13549607334.625124</v>
      </c>
      <c r="I246" s="106">
        <f>H246/'System Assumptions'!$F$15</f>
        <v>15.252270619126433</v>
      </c>
      <c r="J246" s="42">
        <f>'System Assumptions'!$E$30+'System Assumptions'!$E$28-'Data Model Calculations'!I246</f>
        <v>64.501329380873571</v>
      </c>
      <c r="K246" s="45">
        <f t="shared" si="33"/>
        <v>55.589251551461352</v>
      </c>
      <c r="L246" s="46">
        <f t="shared" si="42"/>
        <v>753212530548001.75</v>
      </c>
      <c r="M246" s="47">
        <f>D246/1000*('System Assumptions'!$F$20*1000000)</f>
        <v>276691425000.00018</v>
      </c>
      <c r="N246" s="48"/>
      <c r="O246" s="49">
        <f>(F246/1000)*('System Assumptions'!$F$21*1000000)</f>
        <v>6427291623373.3125</v>
      </c>
      <c r="P246" s="49">
        <f t="shared" si="32"/>
        <v>-6962675137338.3467</v>
      </c>
      <c r="Q246" s="48">
        <f t="shared" si="43"/>
        <v>752953838459036.63</v>
      </c>
      <c r="R246" s="53">
        <f t="shared" si="44"/>
        <v>55.570159331105707</v>
      </c>
      <c r="S246" s="52">
        <v>35</v>
      </c>
    </row>
    <row r="247" spans="1:19">
      <c r="A247" s="3">
        <f t="shared" si="40"/>
        <v>21</v>
      </c>
      <c r="B247" s="3">
        <f t="shared" si="35"/>
        <v>245</v>
      </c>
      <c r="C247" s="40">
        <f t="shared" si="41"/>
        <v>13549607334.625124</v>
      </c>
      <c r="D247" s="41">
        <f>'System Assumptions'!$E$11/12</f>
        <v>75242280</v>
      </c>
      <c r="E247" s="41">
        <f>-'System Assumptions'!$E$10/12</f>
        <v>-133627000</v>
      </c>
      <c r="F247" s="41">
        <f>IF(I246&lt;'System Assumptions'!$E$29,'Hydrological Data Model'!$E$33/12,'Hydrological Data Model'!$E$33/12)</f>
        <v>183636903.52495179</v>
      </c>
      <c r="G247" s="42">
        <f>IF(I246&lt;'System Assumptions'!$E$29,0,-(MIN('Hydrological Data Model'!$E$34,'Hydrological Data Model'!$E$33-'System Assumptions'!$E$12))/12)</f>
        <v>-125252183.52495177</v>
      </c>
      <c r="H247" s="42">
        <f t="shared" si="31"/>
        <v>13549607334.625124</v>
      </c>
      <c r="I247" s="106">
        <f>H247/'System Assumptions'!$F$15</f>
        <v>15.252270619126433</v>
      </c>
      <c r="J247" s="42">
        <f>'System Assumptions'!$E$30+'System Assumptions'!$E$28-'Data Model Calculations'!I247</f>
        <v>64.501329380873571</v>
      </c>
      <c r="K247" s="45">
        <f t="shared" si="33"/>
        <v>55.570159331105707</v>
      </c>
      <c r="L247" s="46">
        <f t="shared" si="42"/>
        <v>752953838459036.63</v>
      </c>
      <c r="M247" s="47">
        <f>D247/1000*('System Assumptions'!$F$20*1000000)</f>
        <v>276691425000.00018</v>
      </c>
      <c r="N247" s="48"/>
      <c r="O247" s="49">
        <f>(F247/1000)*('System Assumptions'!$F$21*1000000)</f>
        <v>6427291623373.3125</v>
      </c>
      <c r="P247" s="49">
        <f t="shared" si="32"/>
        <v>-6960283795050.4629</v>
      </c>
      <c r="Q247" s="48">
        <f t="shared" si="43"/>
        <v>752697537712359.5</v>
      </c>
      <c r="R247" s="53">
        <f t="shared" si="44"/>
        <v>55.551243598690192</v>
      </c>
      <c r="S247" s="52">
        <v>35</v>
      </c>
    </row>
    <row r="248" spans="1:19">
      <c r="A248" s="3">
        <f t="shared" si="40"/>
        <v>21</v>
      </c>
      <c r="B248" s="3">
        <f t="shared" si="35"/>
        <v>246</v>
      </c>
      <c r="C248" s="40">
        <f t="shared" si="41"/>
        <v>13549607334.625124</v>
      </c>
      <c r="D248" s="41">
        <f>'System Assumptions'!$E$11/12</f>
        <v>75242280</v>
      </c>
      <c r="E248" s="41">
        <f>-'System Assumptions'!$E$10/12</f>
        <v>-133627000</v>
      </c>
      <c r="F248" s="41">
        <f>IF(I247&lt;'System Assumptions'!$E$29,'Hydrological Data Model'!$E$33/12,'Hydrological Data Model'!$E$33/12)</f>
        <v>183636903.52495179</v>
      </c>
      <c r="G248" s="42">
        <f>IF(I247&lt;'System Assumptions'!$E$29,0,-(MIN('Hydrological Data Model'!$E$34,'Hydrological Data Model'!$E$33-'System Assumptions'!$E$12))/12)</f>
        <v>-125252183.52495177</v>
      </c>
      <c r="H248" s="42">
        <f t="shared" si="31"/>
        <v>13549607334.625124</v>
      </c>
      <c r="I248" s="106">
        <f>H248/'System Assumptions'!$F$15</f>
        <v>15.252270619126433</v>
      </c>
      <c r="J248" s="42">
        <f>'System Assumptions'!$E$30+'System Assumptions'!$E$28-'Data Model Calculations'!I248</f>
        <v>64.501329380873571</v>
      </c>
      <c r="K248" s="45">
        <f t="shared" si="33"/>
        <v>55.551243598690192</v>
      </c>
      <c r="L248" s="46">
        <f t="shared" si="42"/>
        <v>752697537712359.5</v>
      </c>
      <c r="M248" s="47">
        <f>D248/1000*('System Assumptions'!$F$20*1000000)</f>
        <v>276691425000.00018</v>
      </c>
      <c r="N248" s="48"/>
      <c r="O248" s="49">
        <f>(F248/1000)*('System Assumptions'!$F$21*1000000)</f>
        <v>6427291623373.3125</v>
      </c>
      <c r="P248" s="49">
        <f t="shared" si="32"/>
        <v>-6957914558262.4463</v>
      </c>
      <c r="Q248" s="48">
        <f t="shared" si="43"/>
        <v>752443606202470.25</v>
      </c>
      <c r="R248" s="53">
        <f t="shared" si="44"/>
        <v>55.532502722765294</v>
      </c>
      <c r="S248" s="52">
        <v>35</v>
      </c>
    </row>
    <row r="249" spans="1:19">
      <c r="A249" s="3">
        <f t="shared" si="40"/>
        <v>21</v>
      </c>
      <c r="B249" s="3">
        <f t="shared" si="35"/>
        <v>247</v>
      </c>
      <c r="C249" s="40">
        <f t="shared" si="41"/>
        <v>13549607334.625124</v>
      </c>
      <c r="D249" s="41">
        <f>'System Assumptions'!$E$11/12</f>
        <v>75242280</v>
      </c>
      <c r="E249" s="41">
        <f>-'System Assumptions'!$E$10/12</f>
        <v>-133627000</v>
      </c>
      <c r="F249" s="41">
        <f>IF(I248&lt;'System Assumptions'!$E$29,'Hydrological Data Model'!$E$33/12,'Hydrological Data Model'!$E$33/12)</f>
        <v>183636903.52495179</v>
      </c>
      <c r="G249" s="42">
        <f>IF(I248&lt;'System Assumptions'!$E$29,0,-(MIN('Hydrological Data Model'!$E$34,'Hydrological Data Model'!$E$33-'System Assumptions'!$E$12))/12)</f>
        <v>-125252183.52495177</v>
      </c>
      <c r="H249" s="42">
        <f t="shared" si="31"/>
        <v>13549607334.625124</v>
      </c>
      <c r="I249" s="106">
        <f>H249/'System Assumptions'!$F$15</f>
        <v>15.252270619126433</v>
      </c>
      <c r="J249" s="42">
        <f>'System Assumptions'!$E$30+'System Assumptions'!$E$28-'Data Model Calculations'!I249</f>
        <v>64.501329380873571</v>
      </c>
      <c r="K249" s="45">
        <f t="shared" si="33"/>
        <v>55.532502722765294</v>
      </c>
      <c r="L249" s="46">
        <f t="shared" si="42"/>
        <v>752443606202470.25</v>
      </c>
      <c r="M249" s="47">
        <f>D249/1000*('System Assumptions'!$F$20*1000000)</f>
        <v>276691425000.00018</v>
      </c>
      <c r="N249" s="48"/>
      <c r="O249" s="49">
        <f>(F249/1000)*('System Assumptions'!$F$21*1000000)</f>
        <v>6427291623373.3125</v>
      </c>
      <c r="P249" s="49">
        <f t="shared" si="32"/>
        <v>-6955567222631.6816</v>
      </c>
      <c r="Q249" s="48">
        <f t="shared" si="43"/>
        <v>752192022028211.88</v>
      </c>
      <c r="R249" s="53">
        <f t="shared" si="44"/>
        <v>55.513935086962626</v>
      </c>
      <c r="S249" s="52">
        <v>35</v>
      </c>
    </row>
    <row r="250" spans="1:19">
      <c r="A250" s="3">
        <f t="shared" si="40"/>
        <v>21</v>
      </c>
      <c r="B250" s="3">
        <f t="shared" si="35"/>
        <v>248</v>
      </c>
      <c r="C250" s="40">
        <f t="shared" si="41"/>
        <v>13549607334.625124</v>
      </c>
      <c r="D250" s="41">
        <f>'System Assumptions'!$E$11/12</f>
        <v>75242280</v>
      </c>
      <c r="E250" s="41">
        <f>-'System Assumptions'!$E$10/12</f>
        <v>-133627000</v>
      </c>
      <c r="F250" s="41">
        <f>IF(I249&lt;'System Assumptions'!$E$29,'Hydrological Data Model'!$E$33/12,'Hydrological Data Model'!$E$33/12)</f>
        <v>183636903.52495179</v>
      </c>
      <c r="G250" s="42">
        <f>IF(I249&lt;'System Assumptions'!$E$29,0,-(MIN('Hydrological Data Model'!$E$34,'Hydrological Data Model'!$E$33-'System Assumptions'!$E$12))/12)</f>
        <v>-125252183.52495177</v>
      </c>
      <c r="H250" s="42">
        <f t="shared" si="31"/>
        <v>13549607334.625124</v>
      </c>
      <c r="I250" s="106">
        <f>H250/'System Assumptions'!$F$15</f>
        <v>15.252270619126433</v>
      </c>
      <c r="J250" s="42">
        <f>'System Assumptions'!$E$30+'System Assumptions'!$E$28-'Data Model Calculations'!I250</f>
        <v>64.501329380873571</v>
      </c>
      <c r="K250" s="45">
        <f t="shared" si="33"/>
        <v>55.513935086962626</v>
      </c>
      <c r="L250" s="46">
        <f t="shared" si="42"/>
        <v>752192022028211.88</v>
      </c>
      <c r="M250" s="47">
        <f>D250/1000*('System Assumptions'!$F$20*1000000)</f>
        <v>276691425000.00018</v>
      </c>
      <c r="N250" s="48"/>
      <c r="O250" s="49">
        <f>(F250/1000)*('System Assumptions'!$F$21*1000000)</f>
        <v>6427291623373.3125</v>
      </c>
      <c r="P250" s="49">
        <f t="shared" si="32"/>
        <v>-6953241585704.502</v>
      </c>
      <c r="Q250" s="48">
        <f t="shared" si="43"/>
        <v>751942763490880.75</v>
      </c>
      <c r="R250" s="53">
        <f t="shared" si="44"/>
        <v>55.495539089855455</v>
      </c>
      <c r="S250" s="52">
        <v>35</v>
      </c>
    </row>
    <row r="251" spans="1:19">
      <c r="A251" s="3">
        <f t="shared" si="40"/>
        <v>21</v>
      </c>
      <c r="B251" s="3">
        <f t="shared" si="35"/>
        <v>249</v>
      </c>
      <c r="C251" s="40">
        <f t="shared" si="41"/>
        <v>13549607334.625124</v>
      </c>
      <c r="D251" s="41">
        <f>'System Assumptions'!$E$11/12</f>
        <v>75242280</v>
      </c>
      <c r="E251" s="41">
        <f>-'System Assumptions'!$E$10/12</f>
        <v>-133627000</v>
      </c>
      <c r="F251" s="41">
        <f>IF(I250&lt;'System Assumptions'!$E$29,'Hydrological Data Model'!$E$33/12,'Hydrological Data Model'!$E$33/12)</f>
        <v>183636903.52495179</v>
      </c>
      <c r="G251" s="42">
        <f>IF(I250&lt;'System Assumptions'!$E$29,0,-(MIN('Hydrological Data Model'!$E$34,'Hydrological Data Model'!$E$33-'System Assumptions'!$E$12))/12)</f>
        <v>-125252183.52495177</v>
      </c>
      <c r="H251" s="42">
        <f t="shared" si="31"/>
        <v>13549607334.625124</v>
      </c>
      <c r="I251" s="106">
        <f>H251/'System Assumptions'!$F$15</f>
        <v>15.252270619126433</v>
      </c>
      <c r="J251" s="42">
        <f>'System Assumptions'!$E$30+'System Assumptions'!$E$28-'Data Model Calculations'!I251</f>
        <v>64.501329380873571</v>
      </c>
      <c r="K251" s="45">
        <f t="shared" si="33"/>
        <v>55.495539089855455</v>
      </c>
      <c r="L251" s="46">
        <f t="shared" si="42"/>
        <v>751942763490880.75</v>
      </c>
      <c r="M251" s="47">
        <f>D251/1000*('System Assumptions'!$F$20*1000000)</f>
        <v>276691425000.00018</v>
      </c>
      <c r="N251" s="48"/>
      <c r="O251" s="49">
        <f>(F251/1000)*('System Assumptions'!$F$21*1000000)</f>
        <v>6427291623373.3125</v>
      </c>
      <c r="P251" s="49">
        <f t="shared" si="32"/>
        <v>-6950937446898.71</v>
      </c>
      <c r="Q251" s="48">
        <f t="shared" si="43"/>
        <v>751695809092355.25</v>
      </c>
      <c r="R251" s="53">
        <f t="shared" si="44"/>
        <v>55.477313144820542</v>
      </c>
      <c r="S251" s="52">
        <v>35</v>
      </c>
    </row>
    <row r="252" spans="1:19">
      <c r="A252" s="3">
        <f t="shared" si="40"/>
        <v>21</v>
      </c>
      <c r="B252" s="3">
        <f t="shared" si="35"/>
        <v>250</v>
      </c>
      <c r="C252" s="40">
        <f t="shared" si="41"/>
        <v>13549607334.625124</v>
      </c>
      <c r="D252" s="41">
        <f>'System Assumptions'!$E$11/12</f>
        <v>75242280</v>
      </c>
      <c r="E252" s="41">
        <f>-'System Assumptions'!$E$10/12</f>
        <v>-133627000</v>
      </c>
      <c r="F252" s="41">
        <f>IF(I251&lt;'System Assumptions'!$E$29,'Hydrological Data Model'!$E$33/12,'Hydrological Data Model'!$E$33/12)</f>
        <v>183636903.52495179</v>
      </c>
      <c r="G252" s="42">
        <f>IF(I251&lt;'System Assumptions'!$E$29,0,-(MIN('Hydrological Data Model'!$E$34,'Hydrological Data Model'!$E$33-'System Assumptions'!$E$12))/12)</f>
        <v>-125252183.52495177</v>
      </c>
      <c r="H252" s="42">
        <f t="shared" si="31"/>
        <v>13549607334.625124</v>
      </c>
      <c r="I252" s="106">
        <f>H252/'System Assumptions'!$F$15</f>
        <v>15.252270619126433</v>
      </c>
      <c r="J252" s="42">
        <f>'System Assumptions'!$E$30+'System Assumptions'!$E$28-'Data Model Calculations'!I252</f>
        <v>64.501329380873571</v>
      </c>
      <c r="K252" s="45">
        <f t="shared" si="33"/>
        <v>55.477313144820542</v>
      </c>
      <c r="L252" s="46">
        <f t="shared" si="42"/>
        <v>751695809092355.25</v>
      </c>
      <c r="M252" s="47">
        <f>D252/1000*('System Assumptions'!$F$20*1000000)</f>
        <v>276691425000.00018</v>
      </c>
      <c r="N252" s="48"/>
      <c r="O252" s="49">
        <f>(F252/1000)*('System Assumptions'!$F$21*1000000)</f>
        <v>6427291623373.3125</v>
      </c>
      <c r="P252" s="49">
        <f t="shared" si="32"/>
        <v>-6948654607486.2822</v>
      </c>
      <c r="Q252" s="48">
        <f t="shared" si="43"/>
        <v>751451137533242.25</v>
      </c>
      <c r="R252" s="53">
        <f t="shared" si="44"/>
        <v>55.45925567990141</v>
      </c>
      <c r="S252" s="52">
        <v>35</v>
      </c>
    </row>
    <row r="253" spans="1:19">
      <c r="A253" s="3">
        <f t="shared" si="40"/>
        <v>21</v>
      </c>
      <c r="B253" s="3">
        <f t="shared" si="35"/>
        <v>251</v>
      </c>
      <c r="C253" s="40">
        <f t="shared" si="41"/>
        <v>13549607334.625124</v>
      </c>
      <c r="D253" s="41">
        <f>'System Assumptions'!$E$11/12</f>
        <v>75242280</v>
      </c>
      <c r="E253" s="41">
        <f>-'System Assumptions'!$E$10/12</f>
        <v>-133627000</v>
      </c>
      <c r="F253" s="41">
        <f>IF(I252&lt;'System Assumptions'!$E$29,'Hydrological Data Model'!$E$33/12,'Hydrological Data Model'!$E$33/12)</f>
        <v>183636903.52495179</v>
      </c>
      <c r="G253" s="42">
        <f>IF(I252&lt;'System Assumptions'!$E$29,0,-(MIN('Hydrological Data Model'!$E$34,'Hydrological Data Model'!$E$33-'System Assumptions'!$E$12))/12)</f>
        <v>-125252183.52495177</v>
      </c>
      <c r="H253" s="42">
        <f t="shared" si="31"/>
        <v>13549607334.625124</v>
      </c>
      <c r="I253" s="106">
        <f>H253/'System Assumptions'!$F$15</f>
        <v>15.252270619126433</v>
      </c>
      <c r="J253" s="42">
        <f>'System Assumptions'!$E$30+'System Assumptions'!$E$28-'Data Model Calculations'!I253</f>
        <v>64.501329380873571</v>
      </c>
      <c r="K253" s="45">
        <f t="shared" si="33"/>
        <v>55.45925567990141</v>
      </c>
      <c r="L253" s="46">
        <f t="shared" si="42"/>
        <v>751451137533242.25</v>
      </c>
      <c r="M253" s="47">
        <f>D253/1000*('System Assumptions'!$F$20*1000000)</f>
        <v>276691425000.00018</v>
      </c>
      <c r="N253" s="48"/>
      <c r="O253" s="49">
        <f>(F253/1000)*('System Assumptions'!$F$21*1000000)</f>
        <v>6427291623373.3125</v>
      </c>
      <c r="P253" s="49">
        <f t="shared" si="32"/>
        <v>-6946392870576.2354</v>
      </c>
      <c r="Q253" s="48">
        <f t="shared" si="43"/>
        <v>751208727711039.25</v>
      </c>
      <c r="R253" s="53">
        <f t="shared" si="44"/>
        <v>55.441365137672669</v>
      </c>
      <c r="S253" s="52">
        <v>35</v>
      </c>
    </row>
    <row r="254" spans="1:19">
      <c r="A254" s="3">
        <f t="shared" si="40"/>
        <v>21</v>
      </c>
      <c r="B254" s="3">
        <f t="shared" si="35"/>
        <v>252</v>
      </c>
      <c r="C254" s="40">
        <f t="shared" si="41"/>
        <v>13549607334.625124</v>
      </c>
      <c r="D254" s="41">
        <f>'System Assumptions'!$E$11/12</f>
        <v>75242280</v>
      </c>
      <c r="E254" s="41">
        <f>-'System Assumptions'!$E$10/12</f>
        <v>-133627000</v>
      </c>
      <c r="F254" s="41">
        <f>IF(I253&lt;'System Assumptions'!$E$29,'Hydrological Data Model'!$E$33/12,'Hydrological Data Model'!$E$33/12)</f>
        <v>183636903.52495179</v>
      </c>
      <c r="G254" s="42">
        <f>IF(I253&lt;'System Assumptions'!$E$29,0,-(MIN('Hydrological Data Model'!$E$34,'Hydrological Data Model'!$E$33-'System Assumptions'!$E$12))/12)</f>
        <v>-125252183.52495177</v>
      </c>
      <c r="H254" s="42">
        <f t="shared" si="31"/>
        <v>13549607334.625124</v>
      </c>
      <c r="I254" s="106">
        <f>H254/'System Assumptions'!$F$15</f>
        <v>15.252270619126433</v>
      </c>
      <c r="J254" s="42">
        <f>'System Assumptions'!$E$30+'System Assumptions'!$E$28-'Data Model Calculations'!I254</f>
        <v>64.501329380873571</v>
      </c>
      <c r="K254" s="45">
        <f t="shared" si="33"/>
        <v>55.441365137672669</v>
      </c>
      <c r="L254" s="46">
        <f t="shared" si="42"/>
        <v>751208727711039.25</v>
      </c>
      <c r="M254" s="47">
        <f>D254/1000*('System Assumptions'!$F$20*1000000)</f>
        <v>276691425000.00018</v>
      </c>
      <c r="N254" s="48"/>
      <c r="O254" s="49">
        <f>(F254/1000)*('System Assumptions'!$F$21*1000000)</f>
        <v>6427291623373.3125</v>
      </c>
      <c r="P254" s="49">
        <f t="shared" si="32"/>
        <v>-6944152041097.6396</v>
      </c>
      <c r="Q254" s="48">
        <f t="shared" si="43"/>
        <v>750968558718314.88</v>
      </c>
      <c r="R254" s="53">
        <f t="shared" si="44"/>
        <v>55.423639975105736</v>
      </c>
      <c r="S254" s="52">
        <v>35</v>
      </c>
    </row>
    <row r="255" spans="1:19">
      <c r="A255" s="3">
        <f t="shared" si="40"/>
        <v>22</v>
      </c>
      <c r="B255" s="3">
        <f t="shared" si="35"/>
        <v>253</v>
      </c>
      <c r="C255" s="40">
        <f t="shared" si="41"/>
        <v>13549607334.625124</v>
      </c>
      <c r="D255" s="41">
        <f>'System Assumptions'!$E$11/12</f>
        <v>75242280</v>
      </c>
      <c r="E255" s="41">
        <f>-'System Assumptions'!$E$10/12</f>
        <v>-133627000</v>
      </c>
      <c r="F255" s="41">
        <f>IF(I254&lt;'System Assumptions'!$E$29,'Hydrological Data Model'!$E$33/12,'Hydrological Data Model'!$E$33/12)</f>
        <v>183636903.52495179</v>
      </c>
      <c r="G255" s="42">
        <f>IF(I254&lt;'System Assumptions'!$E$29,0,-(MIN('Hydrological Data Model'!$E$34,'Hydrological Data Model'!$E$33-'System Assumptions'!$E$12))/12)</f>
        <v>-125252183.52495177</v>
      </c>
      <c r="H255" s="42">
        <f t="shared" si="31"/>
        <v>13549607334.625124</v>
      </c>
      <c r="I255" s="106">
        <f>H255/'System Assumptions'!$F$15</f>
        <v>15.252270619126433</v>
      </c>
      <c r="J255" s="42">
        <f>'System Assumptions'!$E$30+'System Assumptions'!$E$28-'Data Model Calculations'!I255</f>
        <v>64.501329380873571</v>
      </c>
      <c r="K255" s="45">
        <f t="shared" si="33"/>
        <v>55.423639975105736</v>
      </c>
      <c r="L255" s="46">
        <f t="shared" si="42"/>
        <v>750968558718314.88</v>
      </c>
      <c r="M255" s="47">
        <f>D255/1000*('System Assumptions'!$F$20*1000000)</f>
        <v>276691425000.00018</v>
      </c>
      <c r="N255" s="48"/>
      <c r="O255" s="49">
        <f>(F255/1000)*('System Assumptions'!$F$21*1000000)</f>
        <v>6427291623373.3125</v>
      </c>
      <c r="P255" s="49">
        <f t="shared" si="32"/>
        <v>-6941931925782.7969</v>
      </c>
      <c r="Q255" s="48">
        <f t="shared" si="43"/>
        <v>750730609840905.5</v>
      </c>
      <c r="R255" s="53">
        <f t="shared" si="44"/>
        <v>55.406078663435736</v>
      </c>
      <c r="S255" s="52">
        <v>35</v>
      </c>
    </row>
    <row r="256" spans="1:19">
      <c r="A256" s="3">
        <f t="shared" si="40"/>
        <v>22</v>
      </c>
      <c r="B256" s="3">
        <f t="shared" si="35"/>
        <v>254</v>
      </c>
      <c r="C256" s="40">
        <f t="shared" si="41"/>
        <v>13549607334.625124</v>
      </c>
      <c r="D256" s="41">
        <f>'System Assumptions'!$E$11/12</f>
        <v>75242280</v>
      </c>
      <c r="E256" s="41">
        <f>-'System Assumptions'!$E$10/12</f>
        <v>-133627000</v>
      </c>
      <c r="F256" s="41">
        <f>IF(I255&lt;'System Assumptions'!$E$29,'Hydrological Data Model'!$E$33/12,'Hydrological Data Model'!$E$33/12)</f>
        <v>183636903.52495179</v>
      </c>
      <c r="G256" s="42">
        <f>IF(I255&lt;'System Assumptions'!$E$29,0,-(MIN('Hydrological Data Model'!$E$34,'Hydrological Data Model'!$E$33-'System Assumptions'!$E$12))/12)</f>
        <v>-125252183.52495177</v>
      </c>
      <c r="H256" s="42">
        <f t="shared" si="31"/>
        <v>13549607334.625124</v>
      </c>
      <c r="I256" s="106">
        <f>H256/'System Assumptions'!$F$15</f>
        <v>15.252270619126433</v>
      </c>
      <c r="J256" s="42">
        <f>'System Assumptions'!$E$30+'System Assumptions'!$E$28-'Data Model Calculations'!I256</f>
        <v>64.501329380873571</v>
      </c>
      <c r="K256" s="45">
        <f t="shared" si="33"/>
        <v>55.406078663435736</v>
      </c>
      <c r="L256" s="46">
        <f t="shared" si="42"/>
        <v>750730609840905.5</v>
      </c>
      <c r="M256" s="47">
        <f>D256/1000*('System Assumptions'!$F$20*1000000)</f>
        <v>276691425000.00018</v>
      </c>
      <c r="N256" s="48"/>
      <c r="O256" s="49">
        <f>(F256/1000)*('System Assumptions'!$F$21*1000000)</f>
        <v>6427291623373.3125</v>
      </c>
      <c r="P256" s="49">
        <f t="shared" si="32"/>
        <v>-6939732333150.5674</v>
      </c>
      <c r="Q256" s="48">
        <f t="shared" si="43"/>
        <v>750494860556128.13</v>
      </c>
      <c r="R256" s="53">
        <f t="shared" si="44"/>
        <v>55.388679688029647</v>
      </c>
      <c r="S256" s="52">
        <v>35</v>
      </c>
    </row>
    <row r="257" spans="1:19">
      <c r="A257" s="3">
        <f t="shared" si="40"/>
        <v>22</v>
      </c>
      <c r="B257" s="3">
        <f t="shared" si="35"/>
        <v>255</v>
      </c>
      <c r="C257" s="40">
        <f t="shared" si="41"/>
        <v>13549607334.625124</v>
      </c>
      <c r="D257" s="41">
        <f>'System Assumptions'!$E$11/12</f>
        <v>75242280</v>
      </c>
      <c r="E257" s="41">
        <f>-'System Assumptions'!$E$10/12</f>
        <v>-133627000</v>
      </c>
      <c r="F257" s="41">
        <f>IF(I256&lt;'System Assumptions'!$E$29,'Hydrological Data Model'!$E$33/12,'Hydrological Data Model'!$E$33/12)</f>
        <v>183636903.52495179</v>
      </c>
      <c r="G257" s="42">
        <f>IF(I256&lt;'System Assumptions'!$E$29,0,-(MIN('Hydrological Data Model'!$E$34,'Hydrological Data Model'!$E$33-'System Assumptions'!$E$12))/12)</f>
        <v>-125252183.52495177</v>
      </c>
      <c r="H257" s="42">
        <f t="shared" si="31"/>
        <v>13549607334.625124</v>
      </c>
      <c r="I257" s="106">
        <f>H257/'System Assumptions'!$F$15</f>
        <v>15.252270619126433</v>
      </c>
      <c r="J257" s="42">
        <f>'System Assumptions'!$E$30+'System Assumptions'!$E$28-'Data Model Calculations'!I257</f>
        <v>64.501329380873571</v>
      </c>
      <c r="K257" s="45">
        <f t="shared" si="33"/>
        <v>55.388679688029647</v>
      </c>
      <c r="L257" s="46">
        <f t="shared" si="42"/>
        <v>750494860556128.13</v>
      </c>
      <c r="M257" s="47">
        <f>D257/1000*('System Assumptions'!$F$20*1000000)</f>
        <v>276691425000.00018</v>
      </c>
      <c r="N257" s="48"/>
      <c r="O257" s="49">
        <f>(F257/1000)*('System Assumptions'!$F$21*1000000)</f>
        <v>6427291623373.3125</v>
      </c>
      <c r="P257" s="49">
        <f t="shared" si="32"/>
        <v>-6937553073489.8574</v>
      </c>
      <c r="Q257" s="48">
        <f t="shared" si="43"/>
        <v>750261290531011.63</v>
      </c>
      <c r="R257" s="53">
        <f t="shared" si="44"/>
        <v>55.371441548255689</v>
      </c>
      <c r="S257" s="52">
        <v>35</v>
      </c>
    </row>
    <row r="258" spans="1:19">
      <c r="A258" s="3">
        <f t="shared" si="40"/>
        <v>22</v>
      </c>
      <c r="B258" s="3">
        <f t="shared" si="35"/>
        <v>256</v>
      </c>
      <c r="C258" s="40">
        <f t="shared" si="41"/>
        <v>13549607334.625124</v>
      </c>
      <c r="D258" s="41">
        <f>'System Assumptions'!$E$11/12</f>
        <v>75242280</v>
      </c>
      <c r="E258" s="41">
        <f>-'System Assumptions'!$E$10/12</f>
        <v>-133627000</v>
      </c>
      <c r="F258" s="41">
        <f>IF(I257&lt;'System Assumptions'!$E$29,'Hydrological Data Model'!$E$33/12,'Hydrological Data Model'!$E$33/12)</f>
        <v>183636903.52495179</v>
      </c>
      <c r="G258" s="42">
        <f>IF(I257&lt;'System Assumptions'!$E$29,0,-(MIN('Hydrological Data Model'!$E$34,'Hydrological Data Model'!$E$33-'System Assumptions'!$E$12))/12)</f>
        <v>-125252183.52495177</v>
      </c>
      <c r="H258" s="42">
        <f t="shared" si="31"/>
        <v>13549607334.625124</v>
      </c>
      <c r="I258" s="106">
        <f>H258/'System Assumptions'!$F$15</f>
        <v>15.252270619126433</v>
      </c>
      <c r="J258" s="42">
        <f>'System Assumptions'!$E$30+'System Assumptions'!$E$28-'Data Model Calculations'!I258</f>
        <v>64.501329380873571</v>
      </c>
      <c r="K258" s="45">
        <f t="shared" si="33"/>
        <v>55.371441548255689</v>
      </c>
      <c r="L258" s="46">
        <f t="shared" si="42"/>
        <v>750261290531011.63</v>
      </c>
      <c r="M258" s="47">
        <f>D258/1000*('System Assumptions'!$F$20*1000000)</f>
        <v>276691425000.00018</v>
      </c>
      <c r="N258" s="48"/>
      <c r="O258" s="49">
        <f>(F258/1000)*('System Assumptions'!$F$21*1000000)</f>
        <v>6427291623373.3125</v>
      </c>
      <c r="P258" s="49">
        <f t="shared" si="32"/>
        <v>-6935393958843.2607</v>
      </c>
      <c r="Q258" s="48">
        <f t="shared" si="43"/>
        <v>750029879620541.75</v>
      </c>
      <c r="R258" s="53">
        <f t="shared" si="44"/>
        <v>55.354362757353861</v>
      </c>
      <c r="S258" s="52">
        <v>35</v>
      </c>
    </row>
    <row r="259" spans="1:19">
      <c r="A259" s="3">
        <f t="shared" si="40"/>
        <v>22</v>
      </c>
      <c r="B259" s="3">
        <f t="shared" si="35"/>
        <v>257</v>
      </c>
      <c r="C259" s="40">
        <f t="shared" si="41"/>
        <v>13549607334.625124</v>
      </c>
      <c r="D259" s="41">
        <f>'System Assumptions'!$E$11/12</f>
        <v>75242280</v>
      </c>
      <c r="E259" s="41">
        <f>-'System Assumptions'!$E$10/12</f>
        <v>-133627000</v>
      </c>
      <c r="F259" s="41">
        <f>IF(I258&lt;'System Assumptions'!$E$29,'Hydrological Data Model'!$E$33/12,'Hydrological Data Model'!$E$33/12)</f>
        <v>183636903.52495179</v>
      </c>
      <c r="G259" s="42">
        <f>IF(I258&lt;'System Assumptions'!$E$29,0,-(MIN('Hydrological Data Model'!$E$34,'Hydrological Data Model'!$E$33-'System Assumptions'!$E$12))/12)</f>
        <v>-125252183.52495177</v>
      </c>
      <c r="H259" s="42">
        <f t="shared" ref="H259:H322" si="45">SUM(C259:G259)</f>
        <v>13549607334.625124</v>
      </c>
      <c r="I259" s="106">
        <f>H259/'System Assumptions'!$F$15</f>
        <v>15.252270619126433</v>
      </c>
      <c r="J259" s="42">
        <f>'System Assumptions'!$E$30+'System Assumptions'!$E$28-'Data Model Calculations'!I259</f>
        <v>64.501329380873571</v>
      </c>
      <c r="K259" s="45">
        <f t="shared" si="33"/>
        <v>55.354362757353861</v>
      </c>
      <c r="L259" s="46">
        <f t="shared" si="42"/>
        <v>750029879620541.75</v>
      </c>
      <c r="M259" s="47">
        <f>D259/1000*('System Assumptions'!$F$20*1000000)</f>
        <v>276691425000.00018</v>
      </c>
      <c r="N259" s="48"/>
      <c r="O259" s="49">
        <f>(F259/1000)*('System Assumptions'!$F$21*1000000)</f>
        <v>6427291623373.3125</v>
      </c>
      <c r="P259" s="49">
        <f t="shared" ref="P259:P322" si="46">(G259*1000000)*K259/1000</f>
        <v>-6933254802990.8408</v>
      </c>
      <c r="Q259" s="48">
        <f t="shared" si="43"/>
        <v>749800607865924.13</v>
      </c>
      <c r="R259" s="53">
        <f t="shared" si="44"/>
        <v>55.337441842307733</v>
      </c>
      <c r="S259" s="52">
        <v>35</v>
      </c>
    </row>
    <row r="260" spans="1:19">
      <c r="A260" s="3">
        <f t="shared" si="40"/>
        <v>22</v>
      </c>
      <c r="B260" s="3">
        <f t="shared" si="35"/>
        <v>258</v>
      </c>
      <c r="C260" s="40">
        <f t="shared" si="41"/>
        <v>13549607334.625124</v>
      </c>
      <c r="D260" s="41">
        <f>'System Assumptions'!$E$11/12</f>
        <v>75242280</v>
      </c>
      <c r="E260" s="41">
        <f>-'System Assumptions'!$E$10/12</f>
        <v>-133627000</v>
      </c>
      <c r="F260" s="41">
        <f>IF(I259&lt;'System Assumptions'!$E$29,'Hydrological Data Model'!$E$33/12,'Hydrological Data Model'!$E$33/12)</f>
        <v>183636903.52495179</v>
      </c>
      <c r="G260" s="42">
        <f>IF(I259&lt;'System Assumptions'!$E$29,0,-(MIN('Hydrological Data Model'!$E$34,'Hydrological Data Model'!$E$33-'System Assumptions'!$E$12))/12)</f>
        <v>-125252183.52495177</v>
      </c>
      <c r="H260" s="42">
        <f t="shared" si="45"/>
        <v>13549607334.625124</v>
      </c>
      <c r="I260" s="106">
        <f>H260/'System Assumptions'!$F$15</f>
        <v>15.252270619126433</v>
      </c>
      <c r="J260" s="42">
        <f>'System Assumptions'!$E$30+'System Assumptions'!$E$28-'Data Model Calculations'!I260</f>
        <v>64.501329380873571</v>
      </c>
      <c r="K260" s="45">
        <f t="shared" ref="K260:K323" si="47">R259</f>
        <v>55.337441842307733</v>
      </c>
      <c r="L260" s="46">
        <f t="shared" si="42"/>
        <v>749800607865924.13</v>
      </c>
      <c r="M260" s="47">
        <f>D260/1000*('System Assumptions'!$F$20*1000000)</f>
        <v>276691425000.00018</v>
      </c>
      <c r="N260" s="48"/>
      <c r="O260" s="49">
        <f>(F260/1000)*('System Assumptions'!$F$21*1000000)</f>
        <v>6427291623373.3125</v>
      </c>
      <c r="P260" s="49">
        <f t="shared" si="46"/>
        <v>-6931135421434.0732</v>
      </c>
      <c r="Q260" s="48">
        <f t="shared" si="43"/>
        <v>749573455492863.38</v>
      </c>
      <c r="R260" s="53">
        <f t="shared" si="44"/>
        <v>55.320677343717414</v>
      </c>
      <c r="S260" s="52">
        <v>35</v>
      </c>
    </row>
    <row r="261" spans="1:19">
      <c r="A261" s="3">
        <f t="shared" si="40"/>
        <v>22</v>
      </c>
      <c r="B261" s="3">
        <f t="shared" si="35"/>
        <v>259</v>
      </c>
      <c r="C261" s="40">
        <f t="shared" si="41"/>
        <v>13549607334.625124</v>
      </c>
      <c r="D261" s="41">
        <f>'System Assumptions'!$E$11/12</f>
        <v>75242280</v>
      </c>
      <c r="E261" s="41">
        <f>-'System Assumptions'!$E$10/12</f>
        <v>-133627000</v>
      </c>
      <c r="F261" s="41">
        <f>IF(I260&lt;'System Assumptions'!$E$29,'Hydrological Data Model'!$E$33/12,'Hydrological Data Model'!$E$33/12)</f>
        <v>183636903.52495179</v>
      </c>
      <c r="G261" s="42">
        <f>IF(I260&lt;'System Assumptions'!$E$29,0,-(MIN('Hydrological Data Model'!$E$34,'Hydrological Data Model'!$E$33-'System Assumptions'!$E$12))/12)</f>
        <v>-125252183.52495177</v>
      </c>
      <c r="H261" s="42">
        <f t="shared" si="45"/>
        <v>13549607334.625124</v>
      </c>
      <c r="I261" s="106">
        <f>H261/'System Assumptions'!$F$15</f>
        <v>15.252270619126433</v>
      </c>
      <c r="J261" s="42">
        <f>'System Assumptions'!$E$30+'System Assumptions'!$E$28-'Data Model Calculations'!I261</f>
        <v>64.501329380873571</v>
      </c>
      <c r="K261" s="45">
        <f t="shared" si="47"/>
        <v>55.320677343717414</v>
      </c>
      <c r="L261" s="46">
        <f t="shared" si="42"/>
        <v>749573455492863.38</v>
      </c>
      <c r="M261" s="47">
        <f>D261/1000*('System Assumptions'!$F$20*1000000)</f>
        <v>276691425000.00018</v>
      </c>
      <c r="N261" s="48"/>
      <c r="O261" s="49">
        <f>(F261/1000)*('System Assumptions'!$F$21*1000000)</f>
        <v>6427291623373.3125</v>
      </c>
      <c r="P261" s="49">
        <f t="shared" si="46"/>
        <v>-6929035631379.9346</v>
      </c>
      <c r="Q261" s="48">
        <f t="shared" si="43"/>
        <v>749348402909856.88</v>
      </c>
      <c r="R261" s="53">
        <f t="shared" si="44"/>
        <v>55.304067815673648</v>
      </c>
      <c r="S261" s="52">
        <v>35</v>
      </c>
    </row>
    <row r="262" spans="1:19">
      <c r="A262" s="3">
        <f t="shared" si="40"/>
        <v>22</v>
      </c>
      <c r="B262" s="3">
        <f t="shared" si="35"/>
        <v>260</v>
      </c>
      <c r="C262" s="40">
        <f t="shared" si="41"/>
        <v>13549607334.625124</v>
      </c>
      <c r="D262" s="41">
        <f>'System Assumptions'!$E$11/12</f>
        <v>75242280</v>
      </c>
      <c r="E262" s="41">
        <f>-'System Assumptions'!$E$10/12</f>
        <v>-133627000</v>
      </c>
      <c r="F262" s="41">
        <f>IF(I261&lt;'System Assumptions'!$E$29,'Hydrological Data Model'!$E$33/12,'Hydrological Data Model'!$E$33/12)</f>
        <v>183636903.52495179</v>
      </c>
      <c r="G262" s="42">
        <f>IF(I261&lt;'System Assumptions'!$E$29,0,-(MIN('Hydrological Data Model'!$E$34,'Hydrological Data Model'!$E$33-'System Assumptions'!$E$12))/12)</f>
        <v>-125252183.52495177</v>
      </c>
      <c r="H262" s="42">
        <f t="shared" si="45"/>
        <v>13549607334.625124</v>
      </c>
      <c r="I262" s="106">
        <f>H262/'System Assumptions'!$F$15</f>
        <v>15.252270619126433</v>
      </c>
      <c r="J262" s="42">
        <f>'System Assumptions'!$E$30+'System Assumptions'!$E$28-'Data Model Calculations'!I262</f>
        <v>64.501329380873571</v>
      </c>
      <c r="K262" s="45">
        <f t="shared" si="47"/>
        <v>55.304067815673648</v>
      </c>
      <c r="L262" s="46">
        <f t="shared" si="42"/>
        <v>749348402909856.88</v>
      </c>
      <c r="M262" s="47">
        <f>D262/1000*('System Assumptions'!$F$20*1000000)</f>
        <v>276691425000.00018</v>
      </c>
      <c r="N262" s="48"/>
      <c r="O262" s="49">
        <f>(F262/1000)*('System Assumptions'!$F$21*1000000)</f>
        <v>6427291623373.3125</v>
      </c>
      <c r="P262" s="49">
        <f t="shared" si="46"/>
        <v>-6926955251725.1338</v>
      </c>
      <c r="Q262" s="48">
        <f t="shared" si="43"/>
        <v>749125430706505.13</v>
      </c>
      <c r="R262" s="53">
        <f t="shared" si="44"/>
        <v>55.287611825633107</v>
      </c>
      <c r="S262" s="52">
        <v>35</v>
      </c>
    </row>
    <row r="263" spans="1:19">
      <c r="A263" s="3">
        <f t="shared" si="40"/>
        <v>22</v>
      </c>
      <c r="B263" s="3">
        <f t="shared" si="35"/>
        <v>261</v>
      </c>
      <c r="C263" s="40">
        <f t="shared" si="41"/>
        <v>13549607334.625124</v>
      </c>
      <c r="D263" s="41">
        <f>'System Assumptions'!$E$11/12</f>
        <v>75242280</v>
      </c>
      <c r="E263" s="41">
        <f>-'System Assumptions'!$E$10/12</f>
        <v>-133627000</v>
      </c>
      <c r="F263" s="41">
        <f>IF(I262&lt;'System Assumptions'!$E$29,'Hydrological Data Model'!$E$33/12,'Hydrological Data Model'!$E$33/12)</f>
        <v>183636903.52495179</v>
      </c>
      <c r="G263" s="42">
        <f>IF(I262&lt;'System Assumptions'!$E$29,0,-(MIN('Hydrological Data Model'!$E$34,'Hydrological Data Model'!$E$33-'System Assumptions'!$E$12))/12)</f>
        <v>-125252183.52495177</v>
      </c>
      <c r="H263" s="42">
        <f t="shared" si="45"/>
        <v>13549607334.625124</v>
      </c>
      <c r="I263" s="106">
        <f>H263/'System Assumptions'!$F$15</f>
        <v>15.252270619126433</v>
      </c>
      <c r="J263" s="42">
        <f>'System Assumptions'!$E$30+'System Assumptions'!$E$28-'Data Model Calculations'!I263</f>
        <v>64.501329380873571</v>
      </c>
      <c r="K263" s="45">
        <f t="shared" si="47"/>
        <v>55.287611825633107</v>
      </c>
      <c r="L263" s="46">
        <f t="shared" si="42"/>
        <v>749125430706505.13</v>
      </c>
      <c r="M263" s="47">
        <f>D263/1000*('System Assumptions'!$F$20*1000000)</f>
        <v>276691425000.00018</v>
      </c>
      <c r="N263" s="48"/>
      <c r="O263" s="49">
        <f>(F263/1000)*('System Assumptions'!$F$21*1000000)</f>
        <v>6427291623373.3125</v>
      </c>
      <c r="P263" s="49">
        <f t="shared" si="46"/>
        <v>-6924894103040.4912</v>
      </c>
      <c r="Q263" s="48">
        <f t="shared" si="43"/>
        <v>748904519651838</v>
      </c>
      <c r="R263" s="53">
        <f t="shared" si="44"/>
        <v>55.271307954294883</v>
      </c>
      <c r="S263" s="52">
        <v>35</v>
      </c>
    </row>
    <row r="264" spans="1:19">
      <c r="A264" s="3">
        <f t="shared" si="40"/>
        <v>22</v>
      </c>
      <c r="B264" s="3">
        <f t="shared" si="35"/>
        <v>262</v>
      </c>
      <c r="C264" s="40">
        <f t="shared" si="41"/>
        <v>13549607334.625124</v>
      </c>
      <c r="D264" s="41">
        <f>'System Assumptions'!$E$11/12</f>
        <v>75242280</v>
      </c>
      <c r="E264" s="41">
        <f>-'System Assumptions'!$E$10/12</f>
        <v>-133627000</v>
      </c>
      <c r="F264" s="41">
        <f>IF(I263&lt;'System Assumptions'!$E$29,'Hydrological Data Model'!$E$33/12,'Hydrological Data Model'!$E$33/12)</f>
        <v>183636903.52495179</v>
      </c>
      <c r="G264" s="42">
        <f>IF(I263&lt;'System Assumptions'!$E$29,0,-(MIN('Hydrological Data Model'!$E$34,'Hydrological Data Model'!$E$33-'System Assumptions'!$E$12))/12)</f>
        <v>-125252183.52495177</v>
      </c>
      <c r="H264" s="42">
        <f t="shared" si="45"/>
        <v>13549607334.625124</v>
      </c>
      <c r="I264" s="106">
        <f>H264/'System Assumptions'!$F$15</f>
        <v>15.252270619126433</v>
      </c>
      <c r="J264" s="42">
        <f>'System Assumptions'!$E$30+'System Assumptions'!$E$28-'Data Model Calculations'!I264</f>
        <v>64.501329380873571</v>
      </c>
      <c r="K264" s="45">
        <f t="shared" si="47"/>
        <v>55.271307954294883</v>
      </c>
      <c r="L264" s="46">
        <f t="shared" si="42"/>
        <v>748904519651838</v>
      </c>
      <c r="M264" s="47">
        <f>D264/1000*('System Assumptions'!$F$20*1000000)</f>
        <v>276691425000.00018</v>
      </c>
      <c r="N264" s="48"/>
      <c r="O264" s="49">
        <f>(F264/1000)*('System Assumptions'!$F$21*1000000)</f>
        <v>6427291623373.3125</v>
      </c>
      <c r="P264" s="49">
        <f t="shared" si="46"/>
        <v>-6922852007555.4688</v>
      </c>
      <c r="Q264" s="48">
        <f t="shared" si="43"/>
        <v>748685650692655.75</v>
      </c>
      <c r="R264" s="53">
        <f t="shared" si="44"/>
        <v>55.255154795478035</v>
      </c>
      <c r="S264" s="52">
        <v>35</v>
      </c>
    </row>
    <row r="265" spans="1:19">
      <c r="A265" s="3">
        <f t="shared" si="40"/>
        <v>22</v>
      </c>
      <c r="B265" s="3">
        <f t="shared" si="35"/>
        <v>263</v>
      </c>
      <c r="C265" s="40">
        <f t="shared" si="41"/>
        <v>13549607334.625124</v>
      </c>
      <c r="D265" s="41">
        <f>'System Assumptions'!$E$11/12</f>
        <v>75242280</v>
      </c>
      <c r="E265" s="41">
        <f>-'System Assumptions'!$E$10/12</f>
        <v>-133627000</v>
      </c>
      <c r="F265" s="41">
        <f>IF(I264&lt;'System Assumptions'!$E$29,'Hydrological Data Model'!$E$33/12,'Hydrological Data Model'!$E$33/12)</f>
        <v>183636903.52495179</v>
      </c>
      <c r="G265" s="42">
        <f>IF(I264&lt;'System Assumptions'!$E$29,0,-(MIN('Hydrological Data Model'!$E$34,'Hydrological Data Model'!$E$33-'System Assumptions'!$E$12))/12)</f>
        <v>-125252183.52495177</v>
      </c>
      <c r="H265" s="42">
        <f t="shared" si="45"/>
        <v>13549607334.625124</v>
      </c>
      <c r="I265" s="106">
        <f>H265/'System Assumptions'!$F$15</f>
        <v>15.252270619126433</v>
      </c>
      <c r="J265" s="42">
        <f>'System Assumptions'!$E$30+'System Assumptions'!$E$28-'Data Model Calculations'!I265</f>
        <v>64.501329380873571</v>
      </c>
      <c r="K265" s="45">
        <f t="shared" si="47"/>
        <v>55.255154795478035</v>
      </c>
      <c r="L265" s="46">
        <f t="shared" si="42"/>
        <v>748685650692655.75</v>
      </c>
      <c r="M265" s="47">
        <f>D265/1000*('System Assumptions'!$F$20*1000000)</f>
        <v>276691425000.00018</v>
      </c>
      <c r="N265" s="48"/>
      <c r="O265" s="49">
        <f>(F265/1000)*('System Assumptions'!$F$21*1000000)</f>
        <v>6427291623373.3125</v>
      </c>
      <c r="P265" s="49">
        <f t="shared" si="46"/>
        <v>-6920828789142.833</v>
      </c>
      <c r="Q265" s="48">
        <f t="shared" si="43"/>
        <v>748468804951886.13</v>
      </c>
      <c r="R265" s="53">
        <f t="shared" si="44"/>
        <v>55.239150956000302</v>
      </c>
      <c r="S265" s="52">
        <v>35</v>
      </c>
    </row>
    <row r="266" spans="1:19">
      <c r="A266" s="3">
        <f t="shared" si="40"/>
        <v>22</v>
      </c>
      <c r="B266" s="3">
        <f t="shared" si="35"/>
        <v>264</v>
      </c>
      <c r="C266" s="40">
        <f t="shared" si="41"/>
        <v>13549607334.625124</v>
      </c>
      <c r="D266" s="41">
        <f>'System Assumptions'!$E$11/12</f>
        <v>75242280</v>
      </c>
      <c r="E266" s="41">
        <f>-'System Assumptions'!$E$10/12</f>
        <v>-133627000</v>
      </c>
      <c r="F266" s="41">
        <f>IF(I265&lt;'System Assumptions'!$E$29,'Hydrological Data Model'!$E$33/12,'Hydrological Data Model'!$E$33/12)</f>
        <v>183636903.52495179</v>
      </c>
      <c r="G266" s="42">
        <f>IF(I265&lt;'System Assumptions'!$E$29,0,-(MIN('Hydrological Data Model'!$E$34,'Hydrological Data Model'!$E$33-'System Assumptions'!$E$12))/12)</f>
        <v>-125252183.52495177</v>
      </c>
      <c r="H266" s="42">
        <f t="shared" si="45"/>
        <v>13549607334.625124</v>
      </c>
      <c r="I266" s="106">
        <f>H266/'System Assumptions'!$F$15</f>
        <v>15.252270619126433</v>
      </c>
      <c r="J266" s="42">
        <f>'System Assumptions'!$E$30+'System Assumptions'!$E$28-'Data Model Calculations'!I266</f>
        <v>64.501329380873571</v>
      </c>
      <c r="K266" s="45">
        <f t="shared" si="47"/>
        <v>55.239150956000302</v>
      </c>
      <c r="L266" s="46">
        <f t="shared" si="42"/>
        <v>748468804951886.13</v>
      </c>
      <c r="M266" s="47">
        <f>D266/1000*('System Assumptions'!$F$20*1000000)</f>
        <v>276691425000.00018</v>
      </c>
      <c r="N266" s="48"/>
      <c r="O266" s="49">
        <f>(F266/1000)*('System Assumptions'!$F$21*1000000)</f>
        <v>6427291623373.3125</v>
      </c>
      <c r="P266" s="49">
        <f t="shared" si="46"/>
        <v>-6918824273303.4648</v>
      </c>
      <c r="Q266" s="48">
        <f t="shared" si="43"/>
        <v>748253963726956</v>
      </c>
      <c r="R266" s="53">
        <f t="shared" si="44"/>
        <v>55.223295055557998</v>
      </c>
      <c r="S266" s="52">
        <v>35</v>
      </c>
    </row>
    <row r="267" spans="1:19">
      <c r="A267" s="3">
        <f t="shared" si="40"/>
        <v>23</v>
      </c>
      <c r="B267" s="3">
        <f t="shared" si="35"/>
        <v>265</v>
      </c>
      <c r="C267" s="40">
        <f t="shared" si="41"/>
        <v>13549607334.625124</v>
      </c>
      <c r="D267" s="41">
        <f>'System Assumptions'!$E$11/12</f>
        <v>75242280</v>
      </c>
      <c r="E267" s="41">
        <f>-'System Assumptions'!$E$10/12</f>
        <v>-133627000</v>
      </c>
      <c r="F267" s="41">
        <f>IF(I266&lt;'System Assumptions'!$E$29,'Hydrological Data Model'!$E$33/12,'Hydrological Data Model'!$E$33/12)</f>
        <v>183636903.52495179</v>
      </c>
      <c r="G267" s="42">
        <f>IF(I266&lt;'System Assumptions'!$E$29,0,-(MIN('Hydrological Data Model'!$E$34,'Hydrological Data Model'!$E$33-'System Assumptions'!$E$12))/12)</f>
        <v>-125252183.52495177</v>
      </c>
      <c r="H267" s="42">
        <f t="shared" si="45"/>
        <v>13549607334.625124</v>
      </c>
      <c r="I267" s="106">
        <f>H267/'System Assumptions'!$F$15</f>
        <v>15.252270619126433</v>
      </c>
      <c r="J267" s="42">
        <f>'System Assumptions'!$E$30+'System Assumptions'!$E$28-'Data Model Calculations'!I267</f>
        <v>64.501329380873571</v>
      </c>
      <c r="K267" s="45">
        <f t="shared" si="47"/>
        <v>55.223295055557998</v>
      </c>
      <c r="L267" s="46">
        <f t="shared" si="42"/>
        <v>748253963726956</v>
      </c>
      <c r="M267" s="47">
        <f>D267/1000*('System Assumptions'!$F$20*1000000)</f>
        <v>276691425000.00018</v>
      </c>
      <c r="N267" s="48"/>
      <c r="O267" s="49">
        <f>(F267/1000)*('System Assumptions'!$F$21*1000000)</f>
        <v>6427291623373.3125</v>
      </c>
      <c r="P267" s="49">
        <f t="shared" si="46"/>
        <v>-6916838287151.3115</v>
      </c>
      <c r="Q267" s="48">
        <f t="shared" si="43"/>
        <v>748041108488178</v>
      </c>
      <c r="R267" s="53">
        <f t="shared" si="44"/>
        <v>55.207585726606894</v>
      </c>
      <c r="S267" s="52">
        <v>35</v>
      </c>
    </row>
    <row r="268" spans="1:19">
      <c r="A268" s="3">
        <f t="shared" si="40"/>
        <v>23</v>
      </c>
      <c r="B268" s="3">
        <f t="shared" si="35"/>
        <v>266</v>
      </c>
      <c r="C268" s="40">
        <f t="shared" si="41"/>
        <v>13549607334.625124</v>
      </c>
      <c r="D268" s="41">
        <f>'System Assumptions'!$E$11/12</f>
        <v>75242280</v>
      </c>
      <c r="E268" s="41">
        <f>-'System Assumptions'!$E$10/12</f>
        <v>-133627000</v>
      </c>
      <c r="F268" s="41">
        <f>IF(I267&lt;'System Assumptions'!$E$29,'Hydrological Data Model'!$E$33/12,'Hydrological Data Model'!$E$33/12)</f>
        <v>183636903.52495179</v>
      </c>
      <c r="G268" s="42">
        <f>IF(I267&lt;'System Assumptions'!$E$29,0,-(MIN('Hydrological Data Model'!$E$34,'Hydrological Data Model'!$E$33-'System Assumptions'!$E$12))/12)</f>
        <v>-125252183.52495177</v>
      </c>
      <c r="H268" s="42">
        <f t="shared" si="45"/>
        <v>13549607334.625124</v>
      </c>
      <c r="I268" s="106">
        <f>H268/'System Assumptions'!$F$15</f>
        <v>15.252270619126433</v>
      </c>
      <c r="J268" s="42">
        <f>'System Assumptions'!$E$30+'System Assumptions'!$E$28-'Data Model Calculations'!I268</f>
        <v>64.501329380873571</v>
      </c>
      <c r="K268" s="45">
        <f t="shared" si="47"/>
        <v>55.207585726606894</v>
      </c>
      <c r="L268" s="46">
        <f t="shared" si="42"/>
        <v>748041108488178</v>
      </c>
      <c r="M268" s="47">
        <f>D268/1000*('System Assumptions'!$F$20*1000000)</f>
        <v>276691425000.00018</v>
      </c>
      <c r="N268" s="48"/>
      <c r="O268" s="49">
        <f>(F268/1000)*('System Assumptions'!$F$21*1000000)</f>
        <v>6427291623373.3125</v>
      </c>
      <c r="P268" s="49">
        <f t="shared" si="46"/>
        <v>-6914870659398.4736</v>
      </c>
      <c r="Q268" s="48">
        <f t="shared" si="43"/>
        <v>747830220877152.75</v>
      </c>
      <c r="R268" s="53">
        <f t="shared" si="44"/>
        <v>55.19202161424429</v>
      </c>
      <c r="S268" s="52">
        <v>35</v>
      </c>
    </row>
    <row r="269" spans="1:19">
      <c r="A269" s="3">
        <f t="shared" si="40"/>
        <v>23</v>
      </c>
      <c r="B269" s="3">
        <f t="shared" si="35"/>
        <v>267</v>
      </c>
      <c r="C269" s="40">
        <f t="shared" si="41"/>
        <v>13549607334.625124</v>
      </c>
      <c r="D269" s="41">
        <f>'System Assumptions'!$E$11/12</f>
        <v>75242280</v>
      </c>
      <c r="E269" s="41">
        <f>-'System Assumptions'!$E$10/12</f>
        <v>-133627000</v>
      </c>
      <c r="F269" s="41">
        <f>IF(I268&lt;'System Assumptions'!$E$29,'Hydrological Data Model'!$E$33/12,'Hydrological Data Model'!$E$33/12)</f>
        <v>183636903.52495179</v>
      </c>
      <c r="G269" s="42">
        <f>IF(I268&lt;'System Assumptions'!$E$29,0,-(MIN('Hydrological Data Model'!$E$34,'Hydrological Data Model'!$E$33-'System Assumptions'!$E$12))/12)</f>
        <v>-125252183.52495177</v>
      </c>
      <c r="H269" s="42">
        <f t="shared" si="45"/>
        <v>13549607334.625124</v>
      </c>
      <c r="I269" s="106">
        <f>H269/'System Assumptions'!$F$15</f>
        <v>15.252270619126433</v>
      </c>
      <c r="J269" s="42">
        <f>'System Assumptions'!$E$30+'System Assumptions'!$E$28-'Data Model Calculations'!I269</f>
        <v>64.501329380873571</v>
      </c>
      <c r="K269" s="45">
        <f t="shared" si="47"/>
        <v>55.19202161424429</v>
      </c>
      <c r="L269" s="46">
        <f t="shared" si="42"/>
        <v>747830220877152.75</v>
      </c>
      <c r="M269" s="47">
        <f>D269/1000*('System Assumptions'!$F$20*1000000)</f>
        <v>276691425000.00018</v>
      </c>
      <c r="N269" s="48"/>
      <c r="O269" s="49">
        <f>(F269/1000)*('System Assumptions'!$F$21*1000000)</f>
        <v>6427291623373.3125</v>
      </c>
      <c r="P269" s="49">
        <f t="shared" si="46"/>
        <v>-6912921220340.4297</v>
      </c>
      <c r="Q269" s="48">
        <f t="shared" si="43"/>
        <v>747621282705185.63</v>
      </c>
      <c r="R269" s="53">
        <f t="shared" si="44"/>
        <v>55.176601376092208</v>
      </c>
      <c r="S269" s="52">
        <v>35</v>
      </c>
    </row>
    <row r="270" spans="1:19">
      <c r="A270" s="3">
        <f t="shared" si="40"/>
        <v>23</v>
      </c>
      <c r="B270" s="3">
        <f t="shared" si="35"/>
        <v>268</v>
      </c>
      <c r="C270" s="40">
        <f t="shared" si="41"/>
        <v>13549607334.625124</v>
      </c>
      <c r="D270" s="41">
        <f>'System Assumptions'!$E$11/12</f>
        <v>75242280</v>
      </c>
      <c r="E270" s="41">
        <f>-'System Assumptions'!$E$10/12</f>
        <v>-133627000</v>
      </c>
      <c r="F270" s="41">
        <f>IF(I269&lt;'System Assumptions'!$E$29,'Hydrological Data Model'!$E$33/12,'Hydrological Data Model'!$E$33/12)</f>
        <v>183636903.52495179</v>
      </c>
      <c r="G270" s="42">
        <f>IF(I269&lt;'System Assumptions'!$E$29,0,-(MIN('Hydrological Data Model'!$E$34,'Hydrological Data Model'!$E$33-'System Assumptions'!$E$12))/12)</f>
        <v>-125252183.52495177</v>
      </c>
      <c r="H270" s="42">
        <f t="shared" si="45"/>
        <v>13549607334.625124</v>
      </c>
      <c r="I270" s="106">
        <f>H270/'System Assumptions'!$F$15</f>
        <v>15.252270619126433</v>
      </c>
      <c r="J270" s="42">
        <f>'System Assumptions'!$E$30+'System Assumptions'!$E$28-'Data Model Calculations'!I270</f>
        <v>64.501329380873571</v>
      </c>
      <c r="K270" s="45">
        <f t="shared" si="47"/>
        <v>55.176601376092208</v>
      </c>
      <c r="L270" s="46">
        <f t="shared" si="42"/>
        <v>747621282705185.63</v>
      </c>
      <c r="M270" s="47">
        <f>D270/1000*('System Assumptions'!$F$20*1000000)</f>
        <v>276691425000.00018</v>
      </c>
      <c r="N270" s="48"/>
      <c r="O270" s="49">
        <f>(F270/1000)*('System Assumptions'!$F$21*1000000)</f>
        <v>6427291623373.3125</v>
      </c>
      <c r="P270" s="49">
        <f t="shared" si="46"/>
        <v>-6910989801841.4072</v>
      </c>
      <c r="Q270" s="48">
        <f t="shared" si="43"/>
        <v>747414275951717.63</v>
      </c>
      <c r="R270" s="53">
        <f t="shared" si="44"/>
        <v>55.161323682181546</v>
      </c>
      <c r="S270" s="52">
        <v>35</v>
      </c>
    </row>
    <row r="271" spans="1:19">
      <c r="A271" s="3">
        <f t="shared" si="40"/>
        <v>23</v>
      </c>
      <c r="B271" s="3">
        <f t="shared" si="35"/>
        <v>269</v>
      </c>
      <c r="C271" s="40">
        <f t="shared" si="41"/>
        <v>13549607334.625124</v>
      </c>
      <c r="D271" s="41">
        <f>'System Assumptions'!$E$11/12</f>
        <v>75242280</v>
      </c>
      <c r="E271" s="41">
        <f>-'System Assumptions'!$E$10/12</f>
        <v>-133627000</v>
      </c>
      <c r="F271" s="41">
        <f>IF(I270&lt;'System Assumptions'!$E$29,'Hydrological Data Model'!$E$33/12,'Hydrological Data Model'!$E$33/12)</f>
        <v>183636903.52495179</v>
      </c>
      <c r="G271" s="42">
        <f>IF(I270&lt;'System Assumptions'!$E$29,0,-(MIN('Hydrological Data Model'!$E$34,'Hydrological Data Model'!$E$33-'System Assumptions'!$E$12))/12)</f>
        <v>-125252183.52495177</v>
      </c>
      <c r="H271" s="42">
        <f t="shared" si="45"/>
        <v>13549607334.625124</v>
      </c>
      <c r="I271" s="106">
        <f>H271/'System Assumptions'!$F$15</f>
        <v>15.252270619126433</v>
      </c>
      <c r="J271" s="42">
        <f>'System Assumptions'!$E$30+'System Assumptions'!$E$28-'Data Model Calculations'!I271</f>
        <v>64.501329380873571</v>
      </c>
      <c r="K271" s="45">
        <f t="shared" si="47"/>
        <v>55.161323682181546</v>
      </c>
      <c r="L271" s="46">
        <f t="shared" si="42"/>
        <v>747414275951717.63</v>
      </c>
      <c r="M271" s="47">
        <f>D271/1000*('System Assumptions'!$F$20*1000000)</f>
        <v>276691425000.00018</v>
      </c>
      <c r="N271" s="48"/>
      <c r="O271" s="49">
        <f>(F271/1000)*('System Assumptions'!$F$21*1000000)</f>
        <v>6427291623373.3125</v>
      </c>
      <c r="P271" s="49">
        <f t="shared" si="46"/>
        <v>-6909076237319.8711</v>
      </c>
      <c r="Q271" s="48">
        <f t="shared" si="43"/>
        <v>747209182762771.13</v>
      </c>
      <c r="R271" s="53">
        <f t="shared" si="44"/>
        <v>55.146187214837397</v>
      </c>
      <c r="S271" s="52">
        <v>35</v>
      </c>
    </row>
    <row r="272" spans="1:19">
      <c r="A272" s="3">
        <f t="shared" si="40"/>
        <v>23</v>
      </c>
      <c r="B272" s="3">
        <f t="shared" ref="B272:B335" si="48">B271+1</f>
        <v>270</v>
      </c>
      <c r="C272" s="40">
        <f t="shared" si="41"/>
        <v>13549607334.625124</v>
      </c>
      <c r="D272" s="41">
        <f>'System Assumptions'!$E$11/12</f>
        <v>75242280</v>
      </c>
      <c r="E272" s="41">
        <f>-'System Assumptions'!$E$10/12</f>
        <v>-133627000</v>
      </c>
      <c r="F272" s="41">
        <f>IF(I271&lt;'System Assumptions'!$E$29,'Hydrological Data Model'!$E$33/12,'Hydrological Data Model'!$E$33/12)</f>
        <v>183636903.52495179</v>
      </c>
      <c r="G272" s="42">
        <f>IF(I271&lt;'System Assumptions'!$E$29,0,-(MIN('Hydrological Data Model'!$E$34,'Hydrological Data Model'!$E$33-'System Assumptions'!$E$12))/12)</f>
        <v>-125252183.52495177</v>
      </c>
      <c r="H272" s="42">
        <f t="shared" si="45"/>
        <v>13549607334.625124</v>
      </c>
      <c r="I272" s="106">
        <f>H272/'System Assumptions'!$F$15</f>
        <v>15.252270619126433</v>
      </c>
      <c r="J272" s="42">
        <f>'System Assumptions'!$E$30+'System Assumptions'!$E$28-'Data Model Calculations'!I272</f>
        <v>64.501329380873571</v>
      </c>
      <c r="K272" s="45">
        <f t="shared" si="47"/>
        <v>55.146187214837397</v>
      </c>
      <c r="L272" s="46">
        <f t="shared" si="42"/>
        <v>747209182762771.13</v>
      </c>
      <c r="M272" s="47">
        <f>D272/1000*('System Assumptions'!$F$20*1000000)</f>
        <v>276691425000.00018</v>
      </c>
      <c r="N272" s="48"/>
      <c r="O272" s="49">
        <f>(F272/1000)*('System Assumptions'!$F$21*1000000)</f>
        <v>6427291623373.3125</v>
      </c>
      <c r="P272" s="49">
        <f t="shared" si="46"/>
        <v>-6907180361734.1621</v>
      </c>
      <c r="Q272" s="48">
        <f t="shared" si="43"/>
        <v>747005985449410.38</v>
      </c>
      <c r="R272" s="53">
        <f t="shared" si="44"/>
        <v>55.131190668565438</v>
      </c>
      <c r="S272" s="52">
        <v>35</v>
      </c>
    </row>
    <row r="273" spans="1:19">
      <c r="A273" s="3">
        <f t="shared" si="40"/>
        <v>23</v>
      </c>
      <c r="B273" s="3">
        <f t="shared" si="48"/>
        <v>271</v>
      </c>
      <c r="C273" s="40">
        <f t="shared" si="41"/>
        <v>13549607334.625124</v>
      </c>
      <c r="D273" s="41">
        <f>'System Assumptions'!$E$11/12</f>
        <v>75242280</v>
      </c>
      <c r="E273" s="41">
        <f>-'System Assumptions'!$E$10/12</f>
        <v>-133627000</v>
      </c>
      <c r="F273" s="41">
        <f>IF(I272&lt;'System Assumptions'!$E$29,'Hydrological Data Model'!$E$33/12,'Hydrological Data Model'!$E$33/12)</f>
        <v>183636903.52495179</v>
      </c>
      <c r="G273" s="42">
        <f>IF(I272&lt;'System Assumptions'!$E$29,0,-(MIN('Hydrological Data Model'!$E$34,'Hydrological Data Model'!$E$33-'System Assumptions'!$E$12))/12)</f>
        <v>-125252183.52495177</v>
      </c>
      <c r="H273" s="42">
        <f t="shared" si="45"/>
        <v>13549607334.625124</v>
      </c>
      <c r="I273" s="106">
        <f>H273/'System Assumptions'!$F$15</f>
        <v>15.252270619126433</v>
      </c>
      <c r="J273" s="42">
        <f>'System Assumptions'!$E$30+'System Assumptions'!$E$28-'Data Model Calculations'!I273</f>
        <v>64.501329380873571</v>
      </c>
      <c r="K273" s="45">
        <f t="shared" si="47"/>
        <v>55.131190668565438</v>
      </c>
      <c r="L273" s="46">
        <f t="shared" si="42"/>
        <v>747005985449410.38</v>
      </c>
      <c r="M273" s="47">
        <f>D273/1000*('System Assumptions'!$F$20*1000000)</f>
        <v>276691425000.00018</v>
      </c>
      <c r="N273" s="48"/>
      <c r="O273" s="49">
        <f>(F273/1000)*('System Assumptions'!$F$21*1000000)</f>
        <v>6427291623373.3125</v>
      </c>
      <c r="P273" s="49">
        <f t="shared" si="46"/>
        <v>-6905302011568.2656</v>
      </c>
      <c r="Q273" s="48">
        <f t="shared" si="43"/>
        <v>746804666486215.5</v>
      </c>
      <c r="R273" s="53">
        <f t="shared" si="44"/>
        <v>55.116332749939232</v>
      </c>
      <c r="S273" s="52">
        <v>35</v>
      </c>
    </row>
    <row r="274" spans="1:19">
      <c r="A274" s="3">
        <f t="shared" si="40"/>
        <v>23</v>
      </c>
      <c r="B274" s="3">
        <f t="shared" si="48"/>
        <v>272</v>
      </c>
      <c r="C274" s="40">
        <f t="shared" si="41"/>
        <v>13549607334.625124</v>
      </c>
      <c r="D274" s="41">
        <f>'System Assumptions'!$E$11/12</f>
        <v>75242280</v>
      </c>
      <c r="E274" s="41">
        <f>-'System Assumptions'!$E$10/12</f>
        <v>-133627000</v>
      </c>
      <c r="F274" s="41">
        <f>IF(I273&lt;'System Assumptions'!$E$29,'Hydrological Data Model'!$E$33/12,'Hydrological Data Model'!$E$33/12)</f>
        <v>183636903.52495179</v>
      </c>
      <c r="G274" s="42">
        <f>IF(I273&lt;'System Assumptions'!$E$29,0,-(MIN('Hydrological Data Model'!$E$34,'Hydrological Data Model'!$E$33-'System Assumptions'!$E$12))/12)</f>
        <v>-125252183.52495177</v>
      </c>
      <c r="H274" s="42">
        <f t="shared" si="45"/>
        <v>13549607334.625124</v>
      </c>
      <c r="I274" s="106">
        <f>H274/'System Assumptions'!$F$15</f>
        <v>15.252270619126433</v>
      </c>
      <c r="J274" s="42">
        <f>'System Assumptions'!$E$30+'System Assumptions'!$E$28-'Data Model Calculations'!I274</f>
        <v>64.501329380873571</v>
      </c>
      <c r="K274" s="45">
        <f t="shared" si="47"/>
        <v>55.116332749939232</v>
      </c>
      <c r="L274" s="46">
        <f t="shared" si="42"/>
        <v>746804666486215.5</v>
      </c>
      <c r="M274" s="47">
        <f>D274/1000*('System Assumptions'!$F$20*1000000)</f>
        <v>276691425000.00018</v>
      </c>
      <c r="N274" s="48"/>
      <c r="O274" s="49">
        <f>(F274/1000)*('System Assumptions'!$F$21*1000000)</f>
        <v>6427291623373.3125</v>
      </c>
      <c r="P274" s="49">
        <f t="shared" si="46"/>
        <v>-6903441024817.6982</v>
      </c>
      <c r="Q274" s="48">
        <f t="shared" si="43"/>
        <v>746605208509771</v>
      </c>
      <c r="R274" s="53">
        <f t="shared" si="44"/>
        <v>55.101612177488782</v>
      </c>
      <c r="S274" s="52">
        <v>35</v>
      </c>
    </row>
    <row r="275" spans="1:19">
      <c r="A275" s="3">
        <f t="shared" si="40"/>
        <v>23</v>
      </c>
      <c r="B275" s="3">
        <f t="shared" si="48"/>
        <v>273</v>
      </c>
      <c r="C275" s="40">
        <f t="shared" si="41"/>
        <v>13549607334.625124</v>
      </c>
      <c r="D275" s="41">
        <f>'System Assumptions'!$E$11/12</f>
        <v>75242280</v>
      </c>
      <c r="E275" s="41">
        <f>-'System Assumptions'!$E$10/12</f>
        <v>-133627000</v>
      </c>
      <c r="F275" s="41">
        <f>IF(I274&lt;'System Assumptions'!$E$29,'Hydrological Data Model'!$E$33/12,'Hydrological Data Model'!$E$33/12)</f>
        <v>183636903.52495179</v>
      </c>
      <c r="G275" s="42">
        <f>IF(I274&lt;'System Assumptions'!$E$29,0,-(MIN('Hydrological Data Model'!$E$34,'Hydrological Data Model'!$E$33-'System Assumptions'!$E$12))/12)</f>
        <v>-125252183.52495177</v>
      </c>
      <c r="H275" s="42">
        <f t="shared" si="45"/>
        <v>13549607334.625124</v>
      </c>
      <c r="I275" s="106">
        <f>H275/'System Assumptions'!$F$15</f>
        <v>15.252270619126433</v>
      </c>
      <c r="J275" s="42">
        <f>'System Assumptions'!$E$30+'System Assumptions'!$E$28-'Data Model Calculations'!I275</f>
        <v>64.501329380873571</v>
      </c>
      <c r="K275" s="45">
        <f t="shared" si="47"/>
        <v>55.101612177488782</v>
      </c>
      <c r="L275" s="46">
        <f t="shared" si="42"/>
        <v>746605208509771</v>
      </c>
      <c r="M275" s="47">
        <f>D275/1000*('System Assumptions'!$F$20*1000000)</f>
        <v>276691425000.00018</v>
      </c>
      <c r="N275" s="48"/>
      <c r="O275" s="49">
        <f>(F275/1000)*('System Assumptions'!$F$21*1000000)</f>
        <v>6427291623373.3125</v>
      </c>
      <c r="P275" s="49">
        <f t="shared" si="46"/>
        <v>-6901597240975.542</v>
      </c>
      <c r="Q275" s="48">
        <f t="shared" si="43"/>
        <v>746407594317168.75</v>
      </c>
      <c r="R275" s="53">
        <f t="shared" si="44"/>
        <v>55.087027681589973</v>
      </c>
      <c r="S275" s="52">
        <v>35</v>
      </c>
    </row>
    <row r="276" spans="1:19">
      <c r="A276" s="3">
        <f t="shared" si="40"/>
        <v>23</v>
      </c>
      <c r="B276" s="3">
        <f t="shared" si="48"/>
        <v>274</v>
      </c>
      <c r="C276" s="40">
        <f t="shared" si="41"/>
        <v>13549607334.625124</v>
      </c>
      <c r="D276" s="41">
        <f>'System Assumptions'!$E$11/12</f>
        <v>75242280</v>
      </c>
      <c r="E276" s="41">
        <f>-'System Assumptions'!$E$10/12</f>
        <v>-133627000</v>
      </c>
      <c r="F276" s="41">
        <f>IF(I275&lt;'System Assumptions'!$E$29,'Hydrological Data Model'!$E$33/12,'Hydrological Data Model'!$E$33/12)</f>
        <v>183636903.52495179</v>
      </c>
      <c r="G276" s="42">
        <f>IF(I275&lt;'System Assumptions'!$E$29,0,-(MIN('Hydrological Data Model'!$E$34,'Hydrological Data Model'!$E$33-'System Assumptions'!$E$12))/12)</f>
        <v>-125252183.52495177</v>
      </c>
      <c r="H276" s="42">
        <f t="shared" si="45"/>
        <v>13549607334.625124</v>
      </c>
      <c r="I276" s="106">
        <f>H276/'System Assumptions'!$F$15</f>
        <v>15.252270619126433</v>
      </c>
      <c r="J276" s="42">
        <f>'System Assumptions'!$E$30+'System Assumptions'!$E$28-'Data Model Calculations'!I276</f>
        <v>64.501329380873571</v>
      </c>
      <c r="K276" s="45">
        <f t="shared" si="47"/>
        <v>55.087027681589973</v>
      </c>
      <c r="L276" s="46">
        <f t="shared" si="42"/>
        <v>746407594317168.75</v>
      </c>
      <c r="M276" s="47">
        <f>D276/1000*('System Assumptions'!$F$20*1000000)</f>
        <v>276691425000.00018</v>
      </c>
      <c r="N276" s="48"/>
      <c r="O276" s="49">
        <f>(F276/1000)*('System Assumptions'!$F$21*1000000)</f>
        <v>6427291623373.3125</v>
      </c>
      <c r="P276" s="49">
        <f t="shared" si="46"/>
        <v>-6899770501018.6055</v>
      </c>
      <c r="Q276" s="48">
        <f t="shared" si="43"/>
        <v>746211806864523.38</v>
      </c>
      <c r="R276" s="53">
        <f t="shared" si="44"/>
        <v>55.072578004355044</v>
      </c>
      <c r="S276" s="52">
        <v>35</v>
      </c>
    </row>
    <row r="277" spans="1:19">
      <c r="A277" s="3">
        <f t="shared" si="40"/>
        <v>23</v>
      </c>
      <c r="B277" s="3">
        <f t="shared" si="48"/>
        <v>275</v>
      </c>
      <c r="C277" s="40">
        <f t="shared" si="41"/>
        <v>13549607334.625124</v>
      </c>
      <c r="D277" s="41">
        <f>'System Assumptions'!$E$11/12</f>
        <v>75242280</v>
      </c>
      <c r="E277" s="41">
        <f>-'System Assumptions'!$E$10/12</f>
        <v>-133627000</v>
      </c>
      <c r="F277" s="41">
        <f>IF(I276&lt;'System Assumptions'!$E$29,'Hydrological Data Model'!$E$33/12,'Hydrological Data Model'!$E$33/12)</f>
        <v>183636903.52495179</v>
      </c>
      <c r="G277" s="42">
        <f>IF(I276&lt;'System Assumptions'!$E$29,0,-(MIN('Hydrological Data Model'!$E$34,'Hydrological Data Model'!$E$33-'System Assumptions'!$E$12))/12)</f>
        <v>-125252183.52495177</v>
      </c>
      <c r="H277" s="42">
        <f t="shared" si="45"/>
        <v>13549607334.625124</v>
      </c>
      <c r="I277" s="106">
        <f>H277/'System Assumptions'!$F$15</f>
        <v>15.252270619126433</v>
      </c>
      <c r="J277" s="42">
        <f>'System Assumptions'!$E$30+'System Assumptions'!$E$28-'Data Model Calculations'!I277</f>
        <v>64.501329380873571</v>
      </c>
      <c r="K277" s="45">
        <f t="shared" si="47"/>
        <v>55.072578004355044</v>
      </c>
      <c r="L277" s="46">
        <f t="shared" si="42"/>
        <v>746211806864523.38</v>
      </c>
      <c r="M277" s="47">
        <f>D277/1000*('System Assumptions'!$F$20*1000000)</f>
        <v>276691425000.00018</v>
      </c>
      <c r="N277" s="48"/>
      <c r="O277" s="49">
        <f>(F277/1000)*('System Assumptions'!$F$21*1000000)</f>
        <v>6427291623373.3125</v>
      </c>
      <c r="P277" s="49">
        <f t="shared" si="46"/>
        <v>-6897960647393.7002</v>
      </c>
      <c r="Q277" s="48">
        <f t="shared" si="43"/>
        <v>746017829265503</v>
      </c>
      <c r="R277" s="53">
        <f t="shared" si="44"/>
        <v>55.058261899524119</v>
      </c>
      <c r="S277" s="52">
        <v>35</v>
      </c>
    </row>
    <row r="278" spans="1:19">
      <c r="A278" s="3">
        <f t="shared" si="40"/>
        <v>23</v>
      </c>
      <c r="B278" s="3">
        <f t="shared" si="48"/>
        <v>276</v>
      </c>
      <c r="C278" s="40">
        <f t="shared" si="41"/>
        <v>13549607334.625124</v>
      </c>
      <c r="D278" s="41">
        <f>'System Assumptions'!$E$11/12</f>
        <v>75242280</v>
      </c>
      <c r="E278" s="41">
        <f>-'System Assumptions'!$E$10/12</f>
        <v>-133627000</v>
      </c>
      <c r="F278" s="41">
        <f>IF(I277&lt;'System Assumptions'!$E$29,'Hydrological Data Model'!$E$33/12,'Hydrological Data Model'!$E$33/12)</f>
        <v>183636903.52495179</v>
      </c>
      <c r="G278" s="42">
        <f>IF(I277&lt;'System Assumptions'!$E$29,0,-(MIN('Hydrological Data Model'!$E$34,'Hydrological Data Model'!$E$33-'System Assumptions'!$E$12))/12)</f>
        <v>-125252183.52495177</v>
      </c>
      <c r="H278" s="42">
        <f t="shared" si="45"/>
        <v>13549607334.625124</v>
      </c>
      <c r="I278" s="106">
        <f>H278/'System Assumptions'!$F$15</f>
        <v>15.252270619126433</v>
      </c>
      <c r="J278" s="42">
        <f>'System Assumptions'!$E$30+'System Assumptions'!$E$28-'Data Model Calculations'!I278</f>
        <v>64.501329380873571</v>
      </c>
      <c r="K278" s="45">
        <f t="shared" si="47"/>
        <v>55.058261899524119</v>
      </c>
      <c r="L278" s="46">
        <f t="shared" si="42"/>
        <v>746017829265503</v>
      </c>
      <c r="M278" s="47">
        <f>D278/1000*('System Assumptions'!$F$20*1000000)</f>
        <v>276691425000.00018</v>
      </c>
      <c r="N278" s="48"/>
      <c r="O278" s="49">
        <f>(F278/1000)*('System Assumptions'!$F$21*1000000)</f>
        <v>6427291623373.3125</v>
      </c>
      <c r="P278" s="49">
        <f t="shared" si="46"/>
        <v>-6896167524004.0537</v>
      </c>
      <c r="Q278" s="48">
        <f t="shared" si="43"/>
        <v>745825644789872.25</v>
      </c>
      <c r="R278" s="53">
        <f t="shared" si="44"/>
        <v>55.044078132357697</v>
      </c>
      <c r="S278" s="52">
        <v>35</v>
      </c>
    </row>
    <row r="279" spans="1:19">
      <c r="A279" s="3">
        <f t="shared" si="40"/>
        <v>24</v>
      </c>
      <c r="B279" s="3">
        <f t="shared" si="48"/>
        <v>277</v>
      </c>
      <c r="C279" s="40">
        <f t="shared" si="41"/>
        <v>13549607334.625124</v>
      </c>
      <c r="D279" s="41">
        <f>'System Assumptions'!$E$11/12</f>
        <v>75242280</v>
      </c>
      <c r="E279" s="41">
        <f>-'System Assumptions'!$E$10/12</f>
        <v>-133627000</v>
      </c>
      <c r="F279" s="41">
        <f>IF(I278&lt;'System Assumptions'!$E$29,'Hydrological Data Model'!$E$33/12,'Hydrological Data Model'!$E$33/12)</f>
        <v>183636903.52495179</v>
      </c>
      <c r="G279" s="42">
        <f>IF(I278&lt;'System Assumptions'!$E$29,0,-(MIN('Hydrological Data Model'!$E$34,'Hydrological Data Model'!$E$33-'System Assumptions'!$E$12))/12)</f>
        <v>-125252183.52495177</v>
      </c>
      <c r="H279" s="42">
        <f t="shared" si="45"/>
        <v>13549607334.625124</v>
      </c>
      <c r="I279" s="106">
        <f>H279/'System Assumptions'!$F$15</f>
        <v>15.252270619126433</v>
      </c>
      <c r="J279" s="42">
        <f>'System Assumptions'!$E$30+'System Assumptions'!$E$28-'Data Model Calculations'!I279</f>
        <v>64.501329380873571</v>
      </c>
      <c r="K279" s="45">
        <f t="shared" si="47"/>
        <v>55.044078132357697</v>
      </c>
      <c r="L279" s="46">
        <f t="shared" si="42"/>
        <v>745825644789872.25</v>
      </c>
      <c r="M279" s="47">
        <f>D279/1000*('System Assumptions'!$F$20*1000000)</f>
        <v>276691425000.00018</v>
      </c>
      <c r="N279" s="48"/>
      <c r="O279" s="49">
        <f>(F279/1000)*('System Assumptions'!$F$21*1000000)</f>
        <v>6427291623373.3125</v>
      </c>
      <c r="P279" s="49">
        <f t="shared" si="46"/>
        <v>-6894390976195.8496</v>
      </c>
      <c r="Q279" s="48">
        <f t="shared" si="43"/>
        <v>745635236862049.63</v>
      </c>
      <c r="R279" s="53">
        <f t="shared" si="44"/>
        <v>55.030025479530188</v>
      </c>
      <c r="S279" s="52">
        <v>35</v>
      </c>
    </row>
    <row r="280" spans="1:19">
      <c r="A280" s="3">
        <f t="shared" si="40"/>
        <v>24</v>
      </c>
      <c r="B280" s="3">
        <f t="shared" si="48"/>
        <v>278</v>
      </c>
      <c r="C280" s="40">
        <f t="shared" si="41"/>
        <v>13549607334.625124</v>
      </c>
      <c r="D280" s="41">
        <f>'System Assumptions'!$E$11/12</f>
        <v>75242280</v>
      </c>
      <c r="E280" s="41">
        <f>-'System Assumptions'!$E$10/12</f>
        <v>-133627000</v>
      </c>
      <c r="F280" s="41">
        <f>IF(I279&lt;'System Assumptions'!$E$29,'Hydrological Data Model'!$E$33/12,'Hydrological Data Model'!$E$33/12)</f>
        <v>183636903.52495179</v>
      </c>
      <c r="G280" s="42">
        <f>IF(I279&lt;'System Assumptions'!$E$29,0,-(MIN('Hydrological Data Model'!$E$34,'Hydrological Data Model'!$E$33-'System Assumptions'!$E$12))/12)</f>
        <v>-125252183.52495177</v>
      </c>
      <c r="H280" s="42">
        <f t="shared" si="45"/>
        <v>13549607334.625124</v>
      </c>
      <c r="I280" s="106">
        <f>H280/'System Assumptions'!$F$15</f>
        <v>15.252270619126433</v>
      </c>
      <c r="J280" s="42">
        <f>'System Assumptions'!$E$30+'System Assumptions'!$E$28-'Data Model Calculations'!I280</f>
        <v>64.501329380873571</v>
      </c>
      <c r="K280" s="45">
        <f t="shared" si="47"/>
        <v>55.030025479530188</v>
      </c>
      <c r="L280" s="46">
        <f t="shared" si="42"/>
        <v>745635236862049.63</v>
      </c>
      <c r="M280" s="47">
        <f>D280/1000*('System Assumptions'!$F$20*1000000)</f>
        <v>276691425000.00018</v>
      </c>
      <c r="N280" s="48"/>
      <c r="O280" s="49">
        <f>(F280/1000)*('System Assumptions'!$F$21*1000000)</f>
        <v>6427291623373.3125</v>
      </c>
      <c r="P280" s="49">
        <f t="shared" si="46"/>
        <v>-6892630850744.8867</v>
      </c>
      <c r="Q280" s="48">
        <f t="shared" si="43"/>
        <v>745446589059678.13</v>
      </c>
      <c r="R280" s="53">
        <f t="shared" si="44"/>
        <v>55.016102729024382</v>
      </c>
      <c r="S280" s="52">
        <v>35</v>
      </c>
    </row>
    <row r="281" spans="1:19">
      <c r="A281" s="3">
        <f t="shared" si="40"/>
        <v>24</v>
      </c>
      <c r="B281" s="3">
        <f t="shared" si="48"/>
        <v>279</v>
      </c>
      <c r="C281" s="40">
        <f t="shared" si="41"/>
        <v>13549607334.625124</v>
      </c>
      <c r="D281" s="41">
        <f>'System Assumptions'!$E$11/12</f>
        <v>75242280</v>
      </c>
      <c r="E281" s="41">
        <f>-'System Assumptions'!$E$10/12</f>
        <v>-133627000</v>
      </c>
      <c r="F281" s="41">
        <f>IF(I280&lt;'System Assumptions'!$E$29,'Hydrological Data Model'!$E$33/12,'Hydrological Data Model'!$E$33/12)</f>
        <v>183636903.52495179</v>
      </c>
      <c r="G281" s="42">
        <f>IF(I280&lt;'System Assumptions'!$E$29,0,-(MIN('Hydrological Data Model'!$E$34,'Hydrological Data Model'!$E$33-'System Assumptions'!$E$12))/12)</f>
        <v>-125252183.52495177</v>
      </c>
      <c r="H281" s="42">
        <f t="shared" si="45"/>
        <v>13549607334.625124</v>
      </c>
      <c r="I281" s="106">
        <f>H281/'System Assumptions'!$F$15</f>
        <v>15.252270619126433</v>
      </c>
      <c r="J281" s="42">
        <f>'System Assumptions'!$E$30+'System Assumptions'!$E$28-'Data Model Calculations'!I281</f>
        <v>64.501329380873571</v>
      </c>
      <c r="K281" s="45">
        <f t="shared" si="47"/>
        <v>55.016102729024382</v>
      </c>
      <c r="L281" s="46">
        <f t="shared" si="42"/>
        <v>745446589059678.13</v>
      </c>
      <c r="M281" s="47">
        <f>D281/1000*('System Assumptions'!$F$20*1000000)</f>
        <v>276691425000.00018</v>
      </c>
      <c r="N281" s="48"/>
      <c r="O281" s="49">
        <f>(F281/1000)*('System Assumptions'!$F$21*1000000)</f>
        <v>6427291623373.3125</v>
      </c>
      <c r="P281" s="49">
        <f t="shared" si="46"/>
        <v>-6890886995843.3623</v>
      </c>
      <c r="Q281" s="48">
        <f t="shared" si="43"/>
        <v>745259685112208.13</v>
      </c>
      <c r="R281" s="53">
        <f t="shared" si="44"/>
        <v>55.002308680026935</v>
      </c>
      <c r="S281" s="52">
        <v>35</v>
      </c>
    </row>
    <row r="282" spans="1:19">
      <c r="A282" s="3">
        <f t="shared" si="40"/>
        <v>24</v>
      </c>
      <c r="B282" s="3">
        <f t="shared" si="48"/>
        <v>280</v>
      </c>
      <c r="C282" s="40">
        <f t="shared" si="41"/>
        <v>13549607334.625124</v>
      </c>
      <c r="D282" s="41">
        <f>'System Assumptions'!$E$11/12</f>
        <v>75242280</v>
      </c>
      <c r="E282" s="41">
        <f>-'System Assumptions'!$E$10/12</f>
        <v>-133627000</v>
      </c>
      <c r="F282" s="41">
        <f>IF(I281&lt;'System Assumptions'!$E$29,'Hydrological Data Model'!$E$33/12,'Hydrological Data Model'!$E$33/12)</f>
        <v>183636903.52495179</v>
      </c>
      <c r="G282" s="42">
        <f>IF(I281&lt;'System Assumptions'!$E$29,0,-(MIN('Hydrological Data Model'!$E$34,'Hydrological Data Model'!$E$33-'System Assumptions'!$E$12))/12)</f>
        <v>-125252183.52495177</v>
      </c>
      <c r="H282" s="42">
        <f t="shared" si="45"/>
        <v>13549607334.625124</v>
      </c>
      <c r="I282" s="106">
        <f>H282/'System Assumptions'!$F$15</f>
        <v>15.252270619126433</v>
      </c>
      <c r="J282" s="42">
        <f>'System Assumptions'!$E$30+'System Assumptions'!$E$28-'Data Model Calculations'!I282</f>
        <v>64.501329380873571</v>
      </c>
      <c r="K282" s="45">
        <f t="shared" si="47"/>
        <v>55.002308680026935</v>
      </c>
      <c r="L282" s="46">
        <f t="shared" si="42"/>
        <v>745259685112208.13</v>
      </c>
      <c r="M282" s="47">
        <f>D282/1000*('System Assumptions'!$F$20*1000000)</f>
        <v>276691425000.00018</v>
      </c>
      <c r="N282" s="48"/>
      <c r="O282" s="49">
        <f>(F282/1000)*('System Assumptions'!$F$21*1000000)</f>
        <v>6427291623373.3125</v>
      </c>
      <c r="P282" s="49">
        <f t="shared" si="46"/>
        <v>-6889159261086.7813</v>
      </c>
      <c r="Q282" s="48">
        <f t="shared" si="43"/>
        <v>745074508899494.75</v>
      </c>
      <c r="R282" s="53">
        <f t="shared" si="44"/>
        <v>54.988642142824773</v>
      </c>
      <c r="S282" s="52">
        <v>35</v>
      </c>
    </row>
    <row r="283" spans="1:19">
      <c r="A283" s="3">
        <f t="shared" si="40"/>
        <v>24</v>
      </c>
      <c r="B283" s="3">
        <f t="shared" si="48"/>
        <v>281</v>
      </c>
      <c r="C283" s="40">
        <f t="shared" si="41"/>
        <v>13549607334.625124</v>
      </c>
      <c r="D283" s="41">
        <f>'System Assumptions'!$E$11/12</f>
        <v>75242280</v>
      </c>
      <c r="E283" s="41">
        <f>-'System Assumptions'!$E$10/12</f>
        <v>-133627000</v>
      </c>
      <c r="F283" s="41">
        <f>IF(I282&lt;'System Assumptions'!$E$29,'Hydrological Data Model'!$E$33/12,'Hydrological Data Model'!$E$33/12)</f>
        <v>183636903.52495179</v>
      </c>
      <c r="G283" s="42">
        <f>IF(I282&lt;'System Assumptions'!$E$29,0,-(MIN('Hydrological Data Model'!$E$34,'Hydrological Data Model'!$E$33-'System Assumptions'!$E$12))/12)</f>
        <v>-125252183.52495177</v>
      </c>
      <c r="H283" s="42">
        <f t="shared" si="45"/>
        <v>13549607334.625124</v>
      </c>
      <c r="I283" s="106">
        <f>H283/'System Assumptions'!$F$15</f>
        <v>15.252270619126433</v>
      </c>
      <c r="J283" s="42">
        <f>'System Assumptions'!$E$30+'System Assumptions'!$E$28-'Data Model Calculations'!I283</f>
        <v>64.501329380873571</v>
      </c>
      <c r="K283" s="45">
        <f t="shared" si="47"/>
        <v>54.988642142824773</v>
      </c>
      <c r="L283" s="46">
        <f t="shared" si="42"/>
        <v>745074508899494.75</v>
      </c>
      <c r="M283" s="47">
        <f>D283/1000*('System Assumptions'!$F$20*1000000)</f>
        <v>276691425000.00018</v>
      </c>
      <c r="N283" s="48"/>
      <c r="O283" s="49">
        <f>(F283/1000)*('System Assumptions'!$F$21*1000000)</f>
        <v>6427291623373.3125</v>
      </c>
      <c r="P283" s="49">
        <f t="shared" si="46"/>
        <v>-6887447497460.9854</v>
      </c>
      <c r="Q283" s="48">
        <f t="shared" si="43"/>
        <v>744891044450407</v>
      </c>
      <c r="R283" s="53">
        <f t="shared" si="44"/>
        <v>54.97510193870248</v>
      </c>
      <c r="S283" s="52">
        <v>35</v>
      </c>
    </row>
    <row r="284" spans="1:19">
      <c r="A284" s="3">
        <f t="shared" si="40"/>
        <v>24</v>
      </c>
      <c r="B284" s="3">
        <f t="shared" si="48"/>
        <v>282</v>
      </c>
      <c r="C284" s="40">
        <f t="shared" si="41"/>
        <v>13549607334.625124</v>
      </c>
      <c r="D284" s="41">
        <f>'System Assumptions'!$E$11/12</f>
        <v>75242280</v>
      </c>
      <c r="E284" s="41">
        <f>-'System Assumptions'!$E$10/12</f>
        <v>-133627000</v>
      </c>
      <c r="F284" s="41">
        <f>IF(I283&lt;'System Assumptions'!$E$29,'Hydrological Data Model'!$E$33/12,'Hydrological Data Model'!$E$33/12)</f>
        <v>183636903.52495179</v>
      </c>
      <c r="G284" s="42">
        <f>IF(I283&lt;'System Assumptions'!$E$29,0,-(MIN('Hydrological Data Model'!$E$34,'Hydrological Data Model'!$E$33-'System Assumptions'!$E$12))/12)</f>
        <v>-125252183.52495177</v>
      </c>
      <c r="H284" s="42">
        <f t="shared" si="45"/>
        <v>13549607334.625124</v>
      </c>
      <c r="I284" s="106">
        <f>H284/'System Assumptions'!$F$15</f>
        <v>15.252270619126433</v>
      </c>
      <c r="J284" s="42">
        <f>'System Assumptions'!$E$30+'System Assumptions'!$E$28-'Data Model Calculations'!I284</f>
        <v>64.501329380873571</v>
      </c>
      <c r="K284" s="45">
        <f t="shared" si="47"/>
        <v>54.97510193870248</v>
      </c>
      <c r="L284" s="46">
        <f t="shared" si="42"/>
        <v>744891044450407</v>
      </c>
      <c r="M284" s="47">
        <f>D284/1000*('System Assumptions'!$F$20*1000000)</f>
        <v>276691425000.00018</v>
      </c>
      <c r="N284" s="48"/>
      <c r="O284" s="49">
        <f>(F284/1000)*('System Assumptions'!$F$21*1000000)</f>
        <v>6427291623373.3125</v>
      </c>
      <c r="P284" s="49">
        <f t="shared" si="46"/>
        <v>-6885751557329.2949</v>
      </c>
      <c r="Q284" s="48">
        <f t="shared" si="43"/>
        <v>744709275941451</v>
      </c>
      <c r="R284" s="53">
        <f t="shared" si="44"/>
        <v>54.961686899840693</v>
      </c>
      <c r="S284" s="52">
        <v>35</v>
      </c>
    </row>
    <row r="285" spans="1:19">
      <c r="A285" s="3">
        <f t="shared" si="40"/>
        <v>24</v>
      </c>
      <c r="B285" s="3">
        <f t="shared" si="48"/>
        <v>283</v>
      </c>
      <c r="C285" s="40">
        <f t="shared" si="41"/>
        <v>13549607334.625124</v>
      </c>
      <c r="D285" s="41">
        <f>'System Assumptions'!$E$11/12</f>
        <v>75242280</v>
      </c>
      <c r="E285" s="41">
        <f>-'System Assumptions'!$E$10/12</f>
        <v>-133627000</v>
      </c>
      <c r="F285" s="41">
        <f>IF(I284&lt;'System Assumptions'!$E$29,'Hydrological Data Model'!$E$33/12,'Hydrological Data Model'!$E$33/12)</f>
        <v>183636903.52495179</v>
      </c>
      <c r="G285" s="42">
        <f>IF(I284&lt;'System Assumptions'!$E$29,0,-(MIN('Hydrological Data Model'!$E$34,'Hydrological Data Model'!$E$33-'System Assumptions'!$E$12))/12)</f>
        <v>-125252183.52495177</v>
      </c>
      <c r="H285" s="42">
        <f t="shared" si="45"/>
        <v>13549607334.625124</v>
      </c>
      <c r="I285" s="106">
        <f>H285/'System Assumptions'!$F$15</f>
        <v>15.252270619126433</v>
      </c>
      <c r="J285" s="42">
        <f>'System Assumptions'!$E$30+'System Assumptions'!$E$28-'Data Model Calculations'!I285</f>
        <v>64.501329380873571</v>
      </c>
      <c r="K285" s="45">
        <f t="shared" si="47"/>
        <v>54.961686899840693</v>
      </c>
      <c r="L285" s="46">
        <f t="shared" si="42"/>
        <v>744709275941451</v>
      </c>
      <c r="M285" s="47">
        <f>D285/1000*('System Assumptions'!$F$20*1000000)</f>
        <v>276691425000.00018</v>
      </c>
      <c r="N285" s="48"/>
      <c r="O285" s="49">
        <f>(F285/1000)*('System Assumptions'!$F$21*1000000)</f>
        <v>6427291623373.3125</v>
      </c>
      <c r="P285" s="49">
        <f t="shared" si="46"/>
        <v>-6884071294419.7842</v>
      </c>
      <c r="Q285" s="48">
        <f t="shared" si="43"/>
        <v>744529187695404.5</v>
      </c>
      <c r="R285" s="53">
        <f t="shared" si="44"/>
        <v>54.948395869215304</v>
      </c>
      <c r="S285" s="52">
        <v>35</v>
      </c>
    </row>
    <row r="286" spans="1:19">
      <c r="A286" s="3">
        <f t="shared" si="40"/>
        <v>24</v>
      </c>
      <c r="B286" s="3">
        <f t="shared" si="48"/>
        <v>284</v>
      </c>
      <c r="C286" s="40">
        <f t="shared" si="41"/>
        <v>13549607334.625124</v>
      </c>
      <c r="D286" s="41">
        <f>'System Assumptions'!$E$11/12</f>
        <v>75242280</v>
      </c>
      <c r="E286" s="41">
        <f>-'System Assumptions'!$E$10/12</f>
        <v>-133627000</v>
      </c>
      <c r="F286" s="41">
        <f>IF(I285&lt;'System Assumptions'!$E$29,'Hydrological Data Model'!$E$33/12,'Hydrological Data Model'!$E$33/12)</f>
        <v>183636903.52495179</v>
      </c>
      <c r="G286" s="42">
        <f>IF(I285&lt;'System Assumptions'!$E$29,0,-(MIN('Hydrological Data Model'!$E$34,'Hydrological Data Model'!$E$33-'System Assumptions'!$E$12))/12)</f>
        <v>-125252183.52495177</v>
      </c>
      <c r="H286" s="42">
        <f t="shared" si="45"/>
        <v>13549607334.625124</v>
      </c>
      <c r="I286" s="106">
        <f>H286/'System Assumptions'!$F$15</f>
        <v>15.252270619126433</v>
      </c>
      <c r="J286" s="42">
        <f>'System Assumptions'!$E$30+'System Assumptions'!$E$28-'Data Model Calculations'!I286</f>
        <v>64.501329380873571</v>
      </c>
      <c r="K286" s="45">
        <f t="shared" si="47"/>
        <v>54.948395869215304</v>
      </c>
      <c r="L286" s="46">
        <f t="shared" si="42"/>
        <v>744529187695404.5</v>
      </c>
      <c r="M286" s="47">
        <f>D286/1000*('System Assumptions'!$F$20*1000000)</f>
        <v>276691425000.00018</v>
      </c>
      <c r="N286" s="48"/>
      <c r="O286" s="49">
        <f>(F286/1000)*('System Assumptions'!$F$21*1000000)</f>
        <v>6427291623373.3125</v>
      </c>
      <c r="P286" s="49">
        <f t="shared" si="46"/>
        <v>-6882406563812.6572</v>
      </c>
      <c r="Q286" s="48">
        <f t="shared" si="43"/>
        <v>744350764179965.13</v>
      </c>
      <c r="R286" s="53">
        <f t="shared" si="44"/>
        <v>54.93522770049772</v>
      </c>
      <c r="S286" s="52">
        <v>35</v>
      </c>
    </row>
    <row r="287" spans="1:19">
      <c r="A287" s="3">
        <f t="shared" si="40"/>
        <v>24</v>
      </c>
      <c r="B287" s="3">
        <f t="shared" si="48"/>
        <v>285</v>
      </c>
      <c r="C287" s="40">
        <f t="shared" si="41"/>
        <v>13549607334.625124</v>
      </c>
      <c r="D287" s="41">
        <f>'System Assumptions'!$E$11/12</f>
        <v>75242280</v>
      </c>
      <c r="E287" s="41">
        <f>-'System Assumptions'!$E$10/12</f>
        <v>-133627000</v>
      </c>
      <c r="F287" s="41">
        <f>IF(I286&lt;'System Assumptions'!$E$29,'Hydrological Data Model'!$E$33/12,'Hydrological Data Model'!$E$33/12)</f>
        <v>183636903.52495179</v>
      </c>
      <c r="G287" s="42">
        <f>IF(I286&lt;'System Assumptions'!$E$29,0,-(MIN('Hydrological Data Model'!$E$34,'Hydrological Data Model'!$E$33-'System Assumptions'!$E$12))/12)</f>
        <v>-125252183.52495177</v>
      </c>
      <c r="H287" s="42">
        <f t="shared" si="45"/>
        <v>13549607334.625124</v>
      </c>
      <c r="I287" s="106">
        <f>H287/'System Assumptions'!$F$15</f>
        <v>15.252270619126433</v>
      </c>
      <c r="J287" s="42">
        <f>'System Assumptions'!$E$30+'System Assumptions'!$E$28-'Data Model Calculations'!I287</f>
        <v>64.501329380873571</v>
      </c>
      <c r="K287" s="45">
        <f t="shared" si="47"/>
        <v>54.93522770049772</v>
      </c>
      <c r="L287" s="46">
        <f t="shared" si="42"/>
        <v>744350764179965.13</v>
      </c>
      <c r="M287" s="47">
        <f>D287/1000*('System Assumptions'!$F$20*1000000)</f>
        <v>276691425000.00018</v>
      </c>
      <c r="N287" s="48"/>
      <c r="O287" s="49">
        <f>(F287/1000)*('System Assumptions'!$F$21*1000000)</f>
        <v>6427291623373.3125</v>
      </c>
      <c r="P287" s="49">
        <f t="shared" si="46"/>
        <v>-6880757221927.7539</v>
      </c>
      <c r="Q287" s="48">
        <f t="shared" si="43"/>
        <v>744173990006410.75</v>
      </c>
      <c r="R287" s="53">
        <f t="shared" si="44"/>
        <v>54.92218125795597</v>
      </c>
      <c r="S287" s="52">
        <v>35</v>
      </c>
    </row>
    <row r="288" spans="1:19">
      <c r="A288" s="3">
        <f t="shared" si="40"/>
        <v>24</v>
      </c>
      <c r="B288" s="3">
        <f t="shared" si="48"/>
        <v>286</v>
      </c>
      <c r="C288" s="40">
        <f t="shared" si="41"/>
        <v>13549607334.625124</v>
      </c>
      <c r="D288" s="41">
        <f>'System Assumptions'!$E$11/12</f>
        <v>75242280</v>
      </c>
      <c r="E288" s="41">
        <f>-'System Assumptions'!$E$10/12</f>
        <v>-133627000</v>
      </c>
      <c r="F288" s="41">
        <f>IF(I287&lt;'System Assumptions'!$E$29,'Hydrological Data Model'!$E$33/12,'Hydrological Data Model'!$E$33/12)</f>
        <v>183636903.52495179</v>
      </c>
      <c r="G288" s="42">
        <f>IF(I287&lt;'System Assumptions'!$E$29,0,-(MIN('Hydrological Data Model'!$E$34,'Hydrological Data Model'!$E$33-'System Assumptions'!$E$12))/12)</f>
        <v>-125252183.52495177</v>
      </c>
      <c r="H288" s="42">
        <f t="shared" si="45"/>
        <v>13549607334.625124</v>
      </c>
      <c r="I288" s="106">
        <f>H288/'System Assumptions'!$F$15</f>
        <v>15.252270619126433</v>
      </c>
      <c r="J288" s="42">
        <f>'System Assumptions'!$E$30+'System Assumptions'!$E$28-'Data Model Calculations'!I288</f>
        <v>64.501329380873571</v>
      </c>
      <c r="K288" s="45">
        <f t="shared" si="47"/>
        <v>54.92218125795597</v>
      </c>
      <c r="L288" s="46">
        <f t="shared" si="42"/>
        <v>744173990006410.75</v>
      </c>
      <c r="M288" s="47">
        <f>D288/1000*('System Assumptions'!$F$20*1000000)</f>
        <v>276691425000.00018</v>
      </c>
      <c r="N288" s="48"/>
      <c r="O288" s="49">
        <f>(F288/1000)*('System Assumptions'!$F$21*1000000)</f>
        <v>6427291623373.3125</v>
      </c>
      <c r="P288" s="49">
        <f t="shared" si="46"/>
        <v>-6879123126512.167</v>
      </c>
      <c r="Q288" s="48">
        <f t="shared" si="43"/>
        <v>743998849928271.88</v>
      </c>
      <c r="R288" s="53">
        <f t="shared" si="44"/>
        <v>54.909255416356757</v>
      </c>
      <c r="S288" s="52">
        <v>35</v>
      </c>
    </row>
    <row r="289" spans="1:19">
      <c r="A289" s="3">
        <f t="shared" si="40"/>
        <v>24</v>
      </c>
      <c r="B289" s="3">
        <f t="shared" si="48"/>
        <v>287</v>
      </c>
      <c r="C289" s="40">
        <f t="shared" si="41"/>
        <v>13549607334.625124</v>
      </c>
      <c r="D289" s="41">
        <f>'System Assumptions'!$E$11/12</f>
        <v>75242280</v>
      </c>
      <c r="E289" s="41">
        <f>-'System Assumptions'!$E$10/12</f>
        <v>-133627000</v>
      </c>
      <c r="F289" s="41">
        <f>IF(I288&lt;'System Assumptions'!$E$29,'Hydrological Data Model'!$E$33/12,'Hydrological Data Model'!$E$33/12)</f>
        <v>183636903.52495179</v>
      </c>
      <c r="G289" s="42">
        <f>IF(I288&lt;'System Assumptions'!$E$29,0,-(MIN('Hydrological Data Model'!$E$34,'Hydrological Data Model'!$E$33-'System Assumptions'!$E$12))/12)</f>
        <v>-125252183.52495177</v>
      </c>
      <c r="H289" s="42">
        <f t="shared" si="45"/>
        <v>13549607334.625124</v>
      </c>
      <c r="I289" s="106">
        <f>H289/'System Assumptions'!$F$15</f>
        <v>15.252270619126433</v>
      </c>
      <c r="J289" s="42">
        <f>'System Assumptions'!$E$30+'System Assumptions'!$E$28-'Data Model Calculations'!I289</f>
        <v>64.501329380873571</v>
      </c>
      <c r="K289" s="45">
        <f t="shared" si="47"/>
        <v>54.909255416356757</v>
      </c>
      <c r="L289" s="46">
        <f t="shared" si="42"/>
        <v>743998849928271.88</v>
      </c>
      <c r="M289" s="47">
        <f>D289/1000*('System Assumptions'!$F$20*1000000)</f>
        <v>276691425000.00018</v>
      </c>
      <c r="N289" s="48"/>
      <c r="O289" s="49">
        <f>(F289/1000)*('System Assumptions'!$F$21*1000000)</f>
        <v>6427291623373.3125</v>
      </c>
      <c r="P289" s="49">
        <f t="shared" si="46"/>
        <v>-6877504136627.9678</v>
      </c>
      <c r="Q289" s="48">
        <f t="shared" si="43"/>
        <v>743825328840017.25</v>
      </c>
      <c r="R289" s="53">
        <f t="shared" si="44"/>
        <v>54.89644906086842</v>
      </c>
      <c r="S289" s="52">
        <v>35</v>
      </c>
    </row>
    <row r="290" spans="1:19">
      <c r="A290" s="3">
        <f t="shared" si="40"/>
        <v>24</v>
      </c>
      <c r="B290" s="3">
        <f t="shared" si="48"/>
        <v>288</v>
      </c>
      <c r="C290" s="40">
        <f t="shared" si="41"/>
        <v>13549607334.625124</v>
      </c>
      <c r="D290" s="41">
        <f>'System Assumptions'!$E$11/12</f>
        <v>75242280</v>
      </c>
      <c r="E290" s="41">
        <f>-'System Assumptions'!$E$10/12</f>
        <v>-133627000</v>
      </c>
      <c r="F290" s="41">
        <f>IF(I289&lt;'System Assumptions'!$E$29,'Hydrological Data Model'!$E$33/12,'Hydrological Data Model'!$E$33/12)</f>
        <v>183636903.52495179</v>
      </c>
      <c r="G290" s="42">
        <f>IF(I289&lt;'System Assumptions'!$E$29,0,-(MIN('Hydrological Data Model'!$E$34,'Hydrological Data Model'!$E$33-'System Assumptions'!$E$12))/12)</f>
        <v>-125252183.52495177</v>
      </c>
      <c r="H290" s="42">
        <f t="shared" si="45"/>
        <v>13549607334.625124</v>
      </c>
      <c r="I290" s="106">
        <f>H290/'System Assumptions'!$F$15</f>
        <v>15.252270619126433</v>
      </c>
      <c r="J290" s="42">
        <f>'System Assumptions'!$E$30+'System Assumptions'!$E$28-'Data Model Calculations'!I290</f>
        <v>64.501329380873571</v>
      </c>
      <c r="K290" s="45">
        <f t="shared" si="47"/>
        <v>54.89644906086842</v>
      </c>
      <c r="L290" s="46">
        <f t="shared" si="42"/>
        <v>743825328840017.25</v>
      </c>
      <c r="M290" s="47">
        <f>D290/1000*('System Assumptions'!$F$20*1000000)</f>
        <v>276691425000.00018</v>
      </c>
      <c r="N290" s="48"/>
      <c r="O290" s="49">
        <f>(F290/1000)*('System Assumptions'!$F$21*1000000)</f>
        <v>6427291623373.3125</v>
      </c>
      <c r="P290" s="49">
        <f t="shared" si="46"/>
        <v>-6875900112640.0566</v>
      </c>
      <c r="Q290" s="48">
        <f t="shared" si="43"/>
        <v>743653411775750.5</v>
      </c>
      <c r="R290" s="53">
        <f t="shared" si="44"/>
        <v>54.883761086964746</v>
      </c>
      <c r="S290" s="52">
        <v>35</v>
      </c>
    </row>
    <row r="291" spans="1:19">
      <c r="A291" s="3">
        <f t="shared" si="40"/>
        <v>25</v>
      </c>
      <c r="B291" s="3">
        <f t="shared" si="48"/>
        <v>289</v>
      </c>
      <c r="C291" s="40">
        <f t="shared" si="41"/>
        <v>13549607334.625124</v>
      </c>
      <c r="D291" s="41">
        <f>'System Assumptions'!$E$11/12</f>
        <v>75242280</v>
      </c>
      <c r="E291" s="41">
        <f>-'System Assumptions'!$E$10/12</f>
        <v>-133627000</v>
      </c>
      <c r="F291" s="41">
        <f>IF(I290&lt;'System Assumptions'!$E$29,'Hydrological Data Model'!$E$33/12,'Hydrological Data Model'!$E$33/12)</f>
        <v>183636903.52495179</v>
      </c>
      <c r="G291" s="42">
        <f>IF(I290&lt;'System Assumptions'!$E$29,0,-(MIN('Hydrological Data Model'!$E$34,'Hydrological Data Model'!$E$33-'System Assumptions'!$E$12))/12)</f>
        <v>-125252183.52495177</v>
      </c>
      <c r="H291" s="42">
        <f t="shared" si="45"/>
        <v>13549607334.625124</v>
      </c>
      <c r="I291" s="106">
        <f>H291/'System Assumptions'!$F$15</f>
        <v>15.252270619126433</v>
      </c>
      <c r="J291" s="42">
        <f>'System Assumptions'!$E$30+'System Assumptions'!$E$28-'Data Model Calculations'!I291</f>
        <v>64.501329380873571</v>
      </c>
      <c r="K291" s="45">
        <f t="shared" si="47"/>
        <v>54.883761086964746</v>
      </c>
      <c r="L291" s="46">
        <f t="shared" si="42"/>
        <v>743653411775750.5</v>
      </c>
      <c r="M291" s="47">
        <f>D291/1000*('System Assumptions'!$F$20*1000000)</f>
        <v>276691425000.00018</v>
      </c>
      <c r="N291" s="48"/>
      <c r="O291" s="49">
        <f>(F291/1000)*('System Assumptions'!$F$21*1000000)</f>
        <v>6427291623373.3125</v>
      </c>
      <c r="P291" s="49">
        <f t="shared" si="46"/>
        <v>-6874310916204.1152</v>
      </c>
      <c r="Q291" s="48">
        <f t="shared" si="43"/>
        <v>743483083907919.63</v>
      </c>
      <c r="R291" s="53">
        <f t="shared" si="44"/>
        <v>54.871190400329745</v>
      </c>
      <c r="S291" s="52">
        <v>35</v>
      </c>
    </row>
    <row r="292" spans="1:19">
      <c r="A292" s="3">
        <f t="shared" si="40"/>
        <v>25</v>
      </c>
      <c r="B292" s="3">
        <f t="shared" si="48"/>
        <v>290</v>
      </c>
      <c r="C292" s="40">
        <f t="shared" si="41"/>
        <v>13549607334.625124</v>
      </c>
      <c r="D292" s="41">
        <f>'System Assumptions'!$E$11/12</f>
        <v>75242280</v>
      </c>
      <c r="E292" s="41">
        <f>-'System Assumptions'!$E$10/12</f>
        <v>-133627000</v>
      </c>
      <c r="F292" s="41">
        <f>IF(I291&lt;'System Assumptions'!$E$29,'Hydrological Data Model'!$E$33/12,'Hydrological Data Model'!$E$33/12)</f>
        <v>183636903.52495179</v>
      </c>
      <c r="G292" s="42">
        <f>IF(I291&lt;'System Assumptions'!$E$29,0,-(MIN('Hydrological Data Model'!$E$34,'Hydrological Data Model'!$E$33-'System Assumptions'!$E$12))/12)</f>
        <v>-125252183.52495177</v>
      </c>
      <c r="H292" s="42">
        <f t="shared" si="45"/>
        <v>13549607334.625124</v>
      </c>
      <c r="I292" s="106">
        <f>H292/'System Assumptions'!$F$15</f>
        <v>15.252270619126433</v>
      </c>
      <c r="J292" s="42">
        <f>'System Assumptions'!$E$30+'System Assumptions'!$E$28-'Data Model Calculations'!I292</f>
        <v>64.501329380873571</v>
      </c>
      <c r="K292" s="45">
        <f t="shared" si="47"/>
        <v>54.871190400329745</v>
      </c>
      <c r="L292" s="46">
        <f t="shared" si="42"/>
        <v>743483083907919.63</v>
      </c>
      <c r="M292" s="47">
        <f>D292/1000*('System Assumptions'!$F$20*1000000)</f>
        <v>276691425000.00018</v>
      </c>
      <c r="N292" s="48"/>
      <c r="O292" s="49">
        <f>(F292/1000)*('System Assumptions'!$F$21*1000000)</f>
        <v>6427291623373.3125</v>
      </c>
      <c r="P292" s="49">
        <f t="shared" si="46"/>
        <v>-6872736410254.6729</v>
      </c>
      <c r="Q292" s="48">
        <f t="shared" si="43"/>
        <v>743314330546038.38</v>
      </c>
      <c r="R292" s="53">
        <f t="shared" si="44"/>
        <v>54.858735916763273</v>
      </c>
      <c r="S292" s="52">
        <v>35</v>
      </c>
    </row>
    <row r="293" spans="1:19">
      <c r="A293" s="3">
        <f t="shared" si="40"/>
        <v>25</v>
      </c>
      <c r="B293" s="3">
        <f t="shared" si="48"/>
        <v>291</v>
      </c>
      <c r="C293" s="40">
        <f t="shared" si="41"/>
        <v>13549607334.625124</v>
      </c>
      <c r="D293" s="41">
        <f>'System Assumptions'!$E$11/12</f>
        <v>75242280</v>
      </c>
      <c r="E293" s="41">
        <f>-'System Assumptions'!$E$10/12</f>
        <v>-133627000</v>
      </c>
      <c r="F293" s="41">
        <f>IF(I292&lt;'System Assumptions'!$E$29,'Hydrological Data Model'!$E$33/12,'Hydrological Data Model'!$E$33/12)</f>
        <v>183636903.52495179</v>
      </c>
      <c r="G293" s="42">
        <f>IF(I292&lt;'System Assumptions'!$E$29,0,-(MIN('Hydrological Data Model'!$E$34,'Hydrological Data Model'!$E$33-'System Assumptions'!$E$12))/12)</f>
        <v>-125252183.52495177</v>
      </c>
      <c r="H293" s="42">
        <f t="shared" si="45"/>
        <v>13549607334.625124</v>
      </c>
      <c r="I293" s="106">
        <f>H293/'System Assumptions'!$F$15</f>
        <v>15.252270619126433</v>
      </c>
      <c r="J293" s="42">
        <f>'System Assumptions'!$E$30+'System Assumptions'!$E$28-'Data Model Calculations'!I293</f>
        <v>64.501329380873571</v>
      </c>
      <c r="K293" s="45">
        <f t="shared" si="47"/>
        <v>54.858735916763273</v>
      </c>
      <c r="L293" s="46">
        <f t="shared" si="42"/>
        <v>743314330546038.38</v>
      </c>
      <c r="M293" s="47">
        <f>D293/1000*('System Assumptions'!$F$20*1000000)</f>
        <v>276691425000.00018</v>
      </c>
      <c r="N293" s="48"/>
      <c r="O293" s="49">
        <f>(F293/1000)*('System Assumptions'!$F$21*1000000)</f>
        <v>6427291623373.3125</v>
      </c>
      <c r="P293" s="49">
        <f t="shared" si="46"/>
        <v>-6871176458993.2959</v>
      </c>
      <c r="Q293" s="48">
        <f t="shared" si="43"/>
        <v>743147137135418.5</v>
      </c>
      <c r="R293" s="53">
        <f t="shared" si="44"/>
        <v>54.846396562087463</v>
      </c>
      <c r="S293" s="52">
        <v>35</v>
      </c>
    </row>
    <row r="294" spans="1:19">
      <c r="A294" s="3">
        <f t="shared" si="40"/>
        <v>25</v>
      </c>
      <c r="B294" s="3">
        <f t="shared" si="48"/>
        <v>292</v>
      </c>
      <c r="C294" s="40">
        <f t="shared" si="41"/>
        <v>13549607334.625124</v>
      </c>
      <c r="D294" s="41">
        <f>'System Assumptions'!$E$11/12</f>
        <v>75242280</v>
      </c>
      <c r="E294" s="41">
        <f>-'System Assumptions'!$E$10/12</f>
        <v>-133627000</v>
      </c>
      <c r="F294" s="41">
        <f>IF(I293&lt;'System Assumptions'!$E$29,'Hydrological Data Model'!$E$33/12,'Hydrological Data Model'!$E$33/12)</f>
        <v>183636903.52495179</v>
      </c>
      <c r="G294" s="42">
        <f>IF(I293&lt;'System Assumptions'!$E$29,0,-(MIN('Hydrological Data Model'!$E$34,'Hydrological Data Model'!$E$33-'System Assumptions'!$E$12))/12)</f>
        <v>-125252183.52495177</v>
      </c>
      <c r="H294" s="42">
        <f t="shared" si="45"/>
        <v>13549607334.625124</v>
      </c>
      <c r="I294" s="106">
        <f>H294/'System Assumptions'!$F$15</f>
        <v>15.252270619126433</v>
      </c>
      <c r="J294" s="42">
        <f>'System Assumptions'!$E$30+'System Assumptions'!$E$28-'Data Model Calculations'!I294</f>
        <v>64.501329380873571</v>
      </c>
      <c r="K294" s="45">
        <f t="shared" si="47"/>
        <v>54.846396562087463</v>
      </c>
      <c r="L294" s="46">
        <f t="shared" si="42"/>
        <v>743147137135418.5</v>
      </c>
      <c r="M294" s="47">
        <f>D294/1000*('System Assumptions'!$F$20*1000000)</f>
        <v>276691425000.00018</v>
      </c>
      <c r="N294" s="48"/>
      <c r="O294" s="49">
        <f>(F294/1000)*('System Assumptions'!$F$21*1000000)</f>
        <v>6427291623373.3125</v>
      </c>
      <c r="P294" s="49">
        <f t="shared" si="46"/>
        <v>-6869630927876.8633</v>
      </c>
      <c r="Q294" s="48">
        <f t="shared" si="43"/>
        <v>742981489255914.88</v>
      </c>
      <c r="R294" s="53">
        <f t="shared" si="44"/>
        <v>54.834171272054128</v>
      </c>
      <c r="S294" s="52">
        <v>35</v>
      </c>
    </row>
    <row r="295" spans="1:19">
      <c r="A295" s="3">
        <f t="shared" si="40"/>
        <v>25</v>
      </c>
      <c r="B295" s="3">
        <f t="shared" si="48"/>
        <v>293</v>
      </c>
      <c r="C295" s="40">
        <f t="shared" si="41"/>
        <v>13549607334.625124</v>
      </c>
      <c r="D295" s="41">
        <f>'System Assumptions'!$E$11/12</f>
        <v>75242280</v>
      </c>
      <c r="E295" s="41">
        <f>-'System Assumptions'!$E$10/12</f>
        <v>-133627000</v>
      </c>
      <c r="F295" s="41">
        <f>IF(I294&lt;'System Assumptions'!$E$29,'Hydrological Data Model'!$E$33/12,'Hydrological Data Model'!$E$33/12)</f>
        <v>183636903.52495179</v>
      </c>
      <c r="G295" s="42">
        <f>IF(I294&lt;'System Assumptions'!$E$29,0,-(MIN('Hydrological Data Model'!$E$34,'Hydrological Data Model'!$E$33-'System Assumptions'!$E$12))/12)</f>
        <v>-125252183.52495177</v>
      </c>
      <c r="H295" s="42">
        <f t="shared" si="45"/>
        <v>13549607334.625124</v>
      </c>
      <c r="I295" s="106">
        <f>H295/'System Assumptions'!$F$15</f>
        <v>15.252270619126433</v>
      </c>
      <c r="J295" s="42">
        <f>'System Assumptions'!$E$30+'System Assumptions'!$E$28-'Data Model Calculations'!I295</f>
        <v>64.501329380873571</v>
      </c>
      <c r="K295" s="45">
        <f t="shared" si="47"/>
        <v>54.834171272054128</v>
      </c>
      <c r="L295" s="46">
        <f t="shared" si="42"/>
        <v>742981489255914.88</v>
      </c>
      <c r="M295" s="47">
        <f>D295/1000*('System Assumptions'!$F$20*1000000)</f>
        <v>276691425000.00018</v>
      </c>
      <c r="N295" s="48"/>
      <c r="O295" s="49">
        <f>(F295/1000)*('System Assumptions'!$F$21*1000000)</f>
        <v>6427291623373.3125</v>
      </c>
      <c r="P295" s="49">
        <f t="shared" si="46"/>
        <v>-6868099683605.9609</v>
      </c>
      <c r="Q295" s="48">
        <f t="shared" si="43"/>
        <v>742817372620682.25</v>
      </c>
      <c r="R295" s="53">
        <f t="shared" si="44"/>
        <v>54.822058992252984</v>
      </c>
      <c r="S295" s="52">
        <v>35</v>
      </c>
    </row>
    <row r="296" spans="1:19">
      <c r="A296" s="3">
        <f t="shared" si="40"/>
        <v>25</v>
      </c>
      <c r="B296" s="3">
        <f t="shared" si="48"/>
        <v>294</v>
      </c>
      <c r="C296" s="40">
        <f t="shared" si="41"/>
        <v>13549607334.625124</v>
      </c>
      <c r="D296" s="41">
        <f>'System Assumptions'!$E$11/12</f>
        <v>75242280</v>
      </c>
      <c r="E296" s="41">
        <f>-'System Assumptions'!$E$10/12</f>
        <v>-133627000</v>
      </c>
      <c r="F296" s="41">
        <f>IF(I295&lt;'System Assumptions'!$E$29,'Hydrological Data Model'!$E$33/12,'Hydrological Data Model'!$E$33/12)</f>
        <v>183636903.52495179</v>
      </c>
      <c r="G296" s="42">
        <f>IF(I295&lt;'System Assumptions'!$E$29,0,-(MIN('Hydrological Data Model'!$E$34,'Hydrological Data Model'!$E$33-'System Assumptions'!$E$12))/12)</f>
        <v>-125252183.52495177</v>
      </c>
      <c r="H296" s="42">
        <f t="shared" si="45"/>
        <v>13549607334.625124</v>
      </c>
      <c r="I296" s="106">
        <f>H296/'System Assumptions'!$F$15</f>
        <v>15.252270619126433</v>
      </c>
      <c r="J296" s="42">
        <f>'System Assumptions'!$E$30+'System Assumptions'!$E$28-'Data Model Calculations'!I296</f>
        <v>64.501329380873571</v>
      </c>
      <c r="K296" s="45">
        <f t="shared" si="47"/>
        <v>54.822058992252984</v>
      </c>
      <c r="L296" s="46">
        <f t="shared" si="42"/>
        <v>742817372620682.25</v>
      </c>
      <c r="M296" s="47">
        <f>D296/1000*('System Assumptions'!$F$20*1000000)</f>
        <v>276691425000.00018</v>
      </c>
      <c r="N296" s="48"/>
      <c r="O296" s="49">
        <f>(F296/1000)*('System Assumptions'!$F$21*1000000)</f>
        <v>6427291623373.3125</v>
      </c>
      <c r="P296" s="49">
        <f t="shared" si="46"/>
        <v>-6866582594113.4033</v>
      </c>
      <c r="Q296" s="48">
        <f t="shared" si="43"/>
        <v>742654773074942.13</v>
      </c>
      <c r="R296" s="53">
        <f t="shared" si="44"/>
        <v>54.810058678020653</v>
      </c>
      <c r="S296" s="52">
        <v>35</v>
      </c>
    </row>
    <row r="297" spans="1:19">
      <c r="A297" s="3">
        <f t="shared" si="40"/>
        <v>25</v>
      </c>
      <c r="B297" s="3">
        <f t="shared" si="48"/>
        <v>295</v>
      </c>
      <c r="C297" s="40">
        <f t="shared" si="41"/>
        <v>13549607334.625124</v>
      </c>
      <c r="D297" s="41">
        <f>'System Assumptions'!$E$11/12</f>
        <v>75242280</v>
      </c>
      <c r="E297" s="41">
        <f>-'System Assumptions'!$E$10/12</f>
        <v>-133627000</v>
      </c>
      <c r="F297" s="41">
        <f>IF(I296&lt;'System Assumptions'!$E$29,'Hydrological Data Model'!$E$33/12,'Hydrological Data Model'!$E$33/12)</f>
        <v>183636903.52495179</v>
      </c>
      <c r="G297" s="42">
        <f>IF(I296&lt;'System Assumptions'!$E$29,0,-(MIN('Hydrological Data Model'!$E$34,'Hydrological Data Model'!$E$33-'System Assumptions'!$E$12))/12)</f>
        <v>-125252183.52495177</v>
      </c>
      <c r="H297" s="42">
        <f t="shared" si="45"/>
        <v>13549607334.625124</v>
      </c>
      <c r="I297" s="106">
        <f>H297/'System Assumptions'!$F$15</f>
        <v>15.252270619126433</v>
      </c>
      <c r="J297" s="42">
        <f>'System Assumptions'!$E$30+'System Assumptions'!$E$28-'Data Model Calculations'!I297</f>
        <v>64.501329380873571</v>
      </c>
      <c r="K297" s="45">
        <f t="shared" si="47"/>
        <v>54.810058678020653</v>
      </c>
      <c r="L297" s="46">
        <f t="shared" si="42"/>
        <v>742654773074942.13</v>
      </c>
      <c r="M297" s="47">
        <f>D297/1000*('System Assumptions'!$F$20*1000000)</f>
        <v>276691425000.00018</v>
      </c>
      <c r="N297" s="48"/>
      <c r="O297" s="49">
        <f>(F297/1000)*('System Assumptions'!$F$21*1000000)</f>
        <v>6427291623373.3125</v>
      </c>
      <c r="P297" s="49">
        <f t="shared" si="46"/>
        <v>-6865079528552.8184</v>
      </c>
      <c r="Q297" s="48">
        <f t="shared" si="43"/>
        <v>742493676594762.63</v>
      </c>
      <c r="R297" s="53">
        <f t="shared" si="44"/>
        <v>54.798169294350636</v>
      </c>
      <c r="S297" s="52">
        <v>35</v>
      </c>
    </row>
    <row r="298" spans="1:19">
      <c r="A298" s="3">
        <f t="shared" si="40"/>
        <v>25</v>
      </c>
      <c r="B298" s="3">
        <f t="shared" si="48"/>
        <v>296</v>
      </c>
      <c r="C298" s="40">
        <f t="shared" si="41"/>
        <v>13549607334.625124</v>
      </c>
      <c r="D298" s="41">
        <f>'System Assumptions'!$E$11/12</f>
        <v>75242280</v>
      </c>
      <c r="E298" s="41">
        <f>-'System Assumptions'!$E$10/12</f>
        <v>-133627000</v>
      </c>
      <c r="F298" s="41">
        <f>IF(I297&lt;'System Assumptions'!$E$29,'Hydrological Data Model'!$E$33/12,'Hydrological Data Model'!$E$33/12)</f>
        <v>183636903.52495179</v>
      </c>
      <c r="G298" s="42">
        <f>IF(I297&lt;'System Assumptions'!$E$29,0,-(MIN('Hydrological Data Model'!$E$34,'Hydrological Data Model'!$E$33-'System Assumptions'!$E$12))/12)</f>
        <v>-125252183.52495177</v>
      </c>
      <c r="H298" s="42">
        <f t="shared" si="45"/>
        <v>13549607334.625124</v>
      </c>
      <c r="I298" s="106">
        <f>H298/'System Assumptions'!$F$15</f>
        <v>15.252270619126433</v>
      </c>
      <c r="J298" s="42">
        <f>'System Assumptions'!$E$30+'System Assumptions'!$E$28-'Data Model Calculations'!I298</f>
        <v>64.501329380873571</v>
      </c>
      <c r="K298" s="45">
        <f t="shared" si="47"/>
        <v>54.798169294350636</v>
      </c>
      <c r="L298" s="46">
        <f t="shared" si="42"/>
        <v>742493676594762.63</v>
      </c>
      <c r="M298" s="47">
        <f>D298/1000*('System Assumptions'!$F$20*1000000)</f>
        <v>276691425000.00018</v>
      </c>
      <c r="N298" s="48"/>
      <c r="O298" s="49">
        <f>(F298/1000)*('System Assumptions'!$F$21*1000000)</f>
        <v>6427291623373.3125</v>
      </c>
      <c r="P298" s="49">
        <f t="shared" si="46"/>
        <v>-6863590357287.3818</v>
      </c>
      <c r="Q298" s="48">
        <f t="shared" si="43"/>
        <v>742334069285848.63</v>
      </c>
      <c r="R298" s="53">
        <f t="shared" si="44"/>
        <v>54.786389815803965</v>
      </c>
      <c r="S298" s="52">
        <v>35</v>
      </c>
    </row>
    <row r="299" spans="1:19">
      <c r="A299" s="3">
        <f t="shared" si="40"/>
        <v>25</v>
      </c>
      <c r="B299" s="3">
        <f t="shared" si="48"/>
        <v>297</v>
      </c>
      <c r="C299" s="40">
        <f t="shared" si="41"/>
        <v>13549607334.625124</v>
      </c>
      <c r="D299" s="41">
        <f>'System Assumptions'!$E$11/12</f>
        <v>75242280</v>
      </c>
      <c r="E299" s="41">
        <f>-'System Assumptions'!$E$10/12</f>
        <v>-133627000</v>
      </c>
      <c r="F299" s="41">
        <f>IF(I298&lt;'System Assumptions'!$E$29,'Hydrological Data Model'!$E$33/12,'Hydrological Data Model'!$E$33/12)</f>
        <v>183636903.52495179</v>
      </c>
      <c r="G299" s="42">
        <f>IF(I298&lt;'System Assumptions'!$E$29,0,-(MIN('Hydrological Data Model'!$E$34,'Hydrological Data Model'!$E$33-'System Assumptions'!$E$12))/12)</f>
        <v>-125252183.52495177</v>
      </c>
      <c r="H299" s="42">
        <f t="shared" si="45"/>
        <v>13549607334.625124</v>
      </c>
      <c r="I299" s="106">
        <f>H299/'System Assumptions'!$F$15</f>
        <v>15.252270619126433</v>
      </c>
      <c r="J299" s="42">
        <f>'System Assumptions'!$E$30+'System Assumptions'!$E$28-'Data Model Calculations'!I299</f>
        <v>64.501329380873571</v>
      </c>
      <c r="K299" s="45">
        <f t="shared" si="47"/>
        <v>54.786389815803965</v>
      </c>
      <c r="L299" s="46">
        <f t="shared" si="42"/>
        <v>742334069285848.63</v>
      </c>
      <c r="M299" s="47">
        <f>D299/1000*('System Assumptions'!$F$20*1000000)</f>
        <v>276691425000.00018</v>
      </c>
      <c r="N299" s="48"/>
      <c r="O299" s="49">
        <f>(F299/1000)*('System Assumptions'!$F$21*1000000)</f>
        <v>6427291623373.3125</v>
      </c>
      <c r="P299" s="49">
        <f t="shared" si="46"/>
        <v>-6862114951878.627</v>
      </c>
      <c r="Q299" s="48">
        <f t="shared" si="43"/>
        <v>742175937382343.38</v>
      </c>
      <c r="R299" s="53">
        <f t="shared" si="44"/>
        <v>54.774719226420828</v>
      </c>
      <c r="S299" s="52">
        <v>35</v>
      </c>
    </row>
    <row r="300" spans="1:19">
      <c r="A300" s="3">
        <f t="shared" si="40"/>
        <v>25</v>
      </c>
      <c r="B300" s="3">
        <f t="shared" si="48"/>
        <v>298</v>
      </c>
      <c r="C300" s="40">
        <f t="shared" si="41"/>
        <v>13549607334.625124</v>
      </c>
      <c r="D300" s="41">
        <f>'System Assumptions'!$E$11/12</f>
        <v>75242280</v>
      </c>
      <c r="E300" s="41">
        <f>-'System Assumptions'!$E$10/12</f>
        <v>-133627000</v>
      </c>
      <c r="F300" s="41">
        <f>IF(I299&lt;'System Assumptions'!$E$29,'Hydrological Data Model'!$E$33/12,'Hydrological Data Model'!$E$33/12)</f>
        <v>183636903.52495179</v>
      </c>
      <c r="G300" s="42">
        <f>IF(I299&lt;'System Assumptions'!$E$29,0,-(MIN('Hydrological Data Model'!$E$34,'Hydrological Data Model'!$E$33-'System Assumptions'!$E$12))/12)</f>
        <v>-125252183.52495177</v>
      </c>
      <c r="H300" s="42">
        <f t="shared" si="45"/>
        <v>13549607334.625124</v>
      </c>
      <c r="I300" s="106">
        <f>H300/'System Assumptions'!$F$15</f>
        <v>15.252270619126433</v>
      </c>
      <c r="J300" s="42">
        <f>'System Assumptions'!$E$30+'System Assumptions'!$E$28-'Data Model Calculations'!I300</f>
        <v>64.501329380873571</v>
      </c>
      <c r="K300" s="45">
        <f t="shared" si="47"/>
        <v>54.774719226420828</v>
      </c>
      <c r="L300" s="46">
        <f t="shared" si="42"/>
        <v>742175937382343.38</v>
      </c>
      <c r="M300" s="47">
        <f>D300/1000*('System Assumptions'!$F$20*1000000)</f>
        <v>276691425000.00018</v>
      </c>
      <c r="N300" s="48"/>
      <c r="O300" s="49">
        <f>(F300/1000)*('System Assumptions'!$F$21*1000000)</f>
        <v>6427291623373.3125</v>
      </c>
      <c r="P300" s="49">
        <f t="shared" si="46"/>
        <v>-6860653185075.3662</v>
      </c>
      <c r="Q300" s="48">
        <f t="shared" si="43"/>
        <v>742019267245641.38</v>
      </c>
      <c r="R300" s="53">
        <f t="shared" si="44"/>
        <v>54.763156519632879</v>
      </c>
      <c r="S300" s="52">
        <v>35</v>
      </c>
    </row>
    <row r="301" spans="1:19">
      <c r="A301" s="3">
        <f t="shared" si="40"/>
        <v>25</v>
      </c>
      <c r="B301" s="3">
        <f t="shared" si="48"/>
        <v>299</v>
      </c>
      <c r="C301" s="40">
        <f t="shared" si="41"/>
        <v>13549607334.625124</v>
      </c>
      <c r="D301" s="41">
        <f>'System Assumptions'!$E$11/12</f>
        <v>75242280</v>
      </c>
      <c r="E301" s="41">
        <f>-'System Assumptions'!$E$10/12</f>
        <v>-133627000</v>
      </c>
      <c r="F301" s="41">
        <f>IF(I300&lt;'System Assumptions'!$E$29,'Hydrological Data Model'!$E$33/12,'Hydrological Data Model'!$E$33/12)</f>
        <v>183636903.52495179</v>
      </c>
      <c r="G301" s="42">
        <f>IF(I300&lt;'System Assumptions'!$E$29,0,-(MIN('Hydrological Data Model'!$E$34,'Hydrological Data Model'!$E$33-'System Assumptions'!$E$12))/12)</f>
        <v>-125252183.52495177</v>
      </c>
      <c r="H301" s="42">
        <f t="shared" si="45"/>
        <v>13549607334.625124</v>
      </c>
      <c r="I301" s="106">
        <f>H301/'System Assumptions'!$F$15</f>
        <v>15.252270619126433</v>
      </c>
      <c r="J301" s="42">
        <f>'System Assumptions'!$E$30+'System Assumptions'!$E$28-'Data Model Calculations'!I301</f>
        <v>64.501329380873571</v>
      </c>
      <c r="K301" s="45">
        <f t="shared" si="47"/>
        <v>54.763156519632879</v>
      </c>
      <c r="L301" s="46">
        <f t="shared" si="42"/>
        <v>742019267245641.38</v>
      </c>
      <c r="M301" s="47">
        <f>D301/1000*('System Assumptions'!$F$20*1000000)</f>
        <v>276691425000.00018</v>
      </c>
      <c r="N301" s="48"/>
      <c r="O301" s="49">
        <f>(F301/1000)*('System Assumptions'!$F$21*1000000)</f>
        <v>6427291623373.3125</v>
      </c>
      <c r="P301" s="49">
        <f t="shared" si="46"/>
        <v>-6859204930802.7158</v>
      </c>
      <c r="Q301" s="48">
        <f t="shared" si="43"/>
        <v>741864045363212</v>
      </c>
      <c r="R301" s="53">
        <f t="shared" si="44"/>
        <v>54.751700698176514</v>
      </c>
      <c r="S301" s="52">
        <v>35</v>
      </c>
    </row>
    <row r="302" spans="1:19">
      <c r="A302" s="3">
        <f t="shared" si="40"/>
        <v>25</v>
      </c>
      <c r="B302" s="3">
        <f t="shared" si="48"/>
        <v>300</v>
      </c>
      <c r="C302" s="40">
        <f t="shared" si="41"/>
        <v>13549607334.625124</v>
      </c>
      <c r="D302" s="41">
        <f>'System Assumptions'!$E$11/12</f>
        <v>75242280</v>
      </c>
      <c r="E302" s="41">
        <f>-'System Assumptions'!$E$10/12</f>
        <v>-133627000</v>
      </c>
      <c r="F302" s="41">
        <f>IF(I301&lt;'System Assumptions'!$E$29,'Hydrological Data Model'!$E$33/12,'Hydrological Data Model'!$E$33/12)</f>
        <v>183636903.52495179</v>
      </c>
      <c r="G302" s="42">
        <f>IF(I301&lt;'System Assumptions'!$E$29,0,-(MIN('Hydrological Data Model'!$E$34,'Hydrological Data Model'!$E$33-'System Assumptions'!$E$12))/12)</f>
        <v>-125252183.52495177</v>
      </c>
      <c r="H302" s="42">
        <f t="shared" si="45"/>
        <v>13549607334.625124</v>
      </c>
      <c r="I302" s="106">
        <f>H302/'System Assumptions'!$F$15</f>
        <v>15.252270619126433</v>
      </c>
      <c r="J302" s="42">
        <f>'System Assumptions'!$E$30+'System Assumptions'!$E$28-'Data Model Calculations'!I302</f>
        <v>64.501329380873571</v>
      </c>
      <c r="K302" s="45">
        <f t="shared" si="47"/>
        <v>54.751700698176514</v>
      </c>
      <c r="L302" s="46">
        <f t="shared" si="42"/>
        <v>741864045363212</v>
      </c>
      <c r="M302" s="47">
        <f>D302/1000*('System Assumptions'!$F$20*1000000)</f>
        <v>276691425000.00018</v>
      </c>
      <c r="N302" s="48"/>
      <c r="O302" s="49">
        <f>(F302/1000)*('System Assumptions'!$F$21*1000000)</f>
        <v>6427291623373.3125</v>
      </c>
      <c r="P302" s="49">
        <f t="shared" si="46"/>
        <v>-6857770064151.2344</v>
      </c>
      <c r="Q302" s="48">
        <f t="shared" si="43"/>
        <v>741710258347434</v>
      </c>
      <c r="R302" s="53">
        <f t="shared" si="44"/>
        <v>54.74035077400675</v>
      </c>
      <c r="S302" s="52">
        <v>35</v>
      </c>
    </row>
    <row r="303" spans="1:19">
      <c r="A303" s="3">
        <f t="shared" si="40"/>
        <v>26</v>
      </c>
      <c r="B303" s="3">
        <f t="shared" si="48"/>
        <v>301</v>
      </c>
      <c r="C303" s="40">
        <f t="shared" si="41"/>
        <v>13549607334.625124</v>
      </c>
      <c r="D303" s="41">
        <f>'System Assumptions'!$E$11/12</f>
        <v>75242280</v>
      </c>
      <c r="E303" s="41">
        <f>-'System Assumptions'!$E$10/12</f>
        <v>-133627000</v>
      </c>
      <c r="F303" s="41">
        <f>IF(I302&lt;'System Assumptions'!$E$29,'Hydrological Data Model'!$E$33/12,'Hydrological Data Model'!$E$33/12)</f>
        <v>183636903.52495179</v>
      </c>
      <c r="G303" s="42">
        <f>IF(I302&lt;'System Assumptions'!$E$29,0,-(MIN('Hydrological Data Model'!$E$34,'Hydrological Data Model'!$E$33-'System Assumptions'!$E$12))/12)</f>
        <v>-125252183.52495177</v>
      </c>
      <c r="H303" s="42">
        <f t="shared" si="45"/>
        <v>13549607334.625124</v>
      </c>
      <c r="I303" s="106">
        <f>H303/'System Assumptions'!$F$15</f>
        <v>15.252270619126433</v>
      </c>
      <c r="J303" s="42">
        <f>'System Assumptions'!$E$30+'System Assumptions'!$E$28-'Data Model Calculations'!I303</f>
        <v>64.501329380873571</v>
      </c>
      <c r="K303" s="45">
        <f t="shared" si="47"/>
        <v>54.74035077400675</v>
      </c>
      <c r="L303" s="46">
        <f t="shared" si="42"/>
        <v>741710258347434</v>
      </c>
      <c r="M303" s="47">
        <f>D303/1000*('System Assumptions'!$F$20*1000000)</f>
        <v>276691425000.00018</v>
      </c>
      <c r="N303" s="48"/>
      <c r="O303" s="49">
        <f>(F303/1000)*('System Assumptions'!$F$21*1000000)</f>
        <v>6427291623373.3125</v>
      </c>
      <c r="P303" s="49">
        <f t="shared" si="46"/>
        <v>-6856348461366.1289</v>
      </c>
      <c r="Q303" s="48">
        <f t="shared" si="43"/>
        <v>741557892934441.13</v>
      </c>
      <c r="R303" s="53">
        <f t="shared" si="44"/>
        <v>54.729105768212115</v>
      </c>
      <c r="S303" s="52">
        <v>35</v>
      </c>
    </row>
    <row r="304" spans="1:19">
      <c r="A304" s="3">
        <f t="shared" si="40"/>
        <v>26</v>
      </c>
      <c r="B304" s="3">
        <f t="shared" si="48"/>
        <v>302</v>
      </c>
      <c r="C304" s="40">
        <f t="shared" si="41"/>
        <v>13549607334.625124</v>
      </c>
      <c r="D304" s="41">
        <f>'System Assumptions'!$E$11/12</f>
        <v>75242280</v>
      </c>
      <c r="E304" s="41">
        <f>-'System Assumptions'!$E$10/12</f>
        <v>-133627000</v>
      </c>
      <c r="F304" s="41">
        <f>IF(I303&lt;'System Assumptions'!$E$29,'Hydrological Data Model'!$E$33/12,'Hydrological Data Model'!$E$33/12)</f>
        <v>183636903.52495179</v>
      </c>
      <c r="G304" s="42">
        <f>IF(I303&lt;'System Assumptions'!$E$29,0,-(MIN('Hydrological Data Model'!$E$34,'Hydrological Data Model'!$E$33-'System Assumptions'!$E$12))/12)</f>
        <v>-125252183.52495177</v>
      </c>
      <c r="H304" s="42">
        <f t="shared" si="45"/>
        <v>13549607334.625124</v>
      </c>
      <c r="I304" s="106">
        <f>H304/'System Assumptions'!$F$15</f>
        <v>15.252270619126433</v>
      </c>
      <c r="J304" s="42">
        <f>'System Assumptions'!$E$30+'System Assumptions'!$E$28-'Data Model Calculations'!I304</f>
        <v>64.501329380873571</v>
      </c>
      <c r="K304" s="45">
        <f t="shared" si="47"/>
        <v>54.729105768212115</v>
      </c>
      <c r="L304" s="46">
        <f t="shared" si="42"/>
        <v>741557892934441.13</v>
      </c>
      <c r="M304" s="47">
        <f>D304/1000*('System Assumptions'!$F$20*1000000)</f>
        <v>276691425000.00018</v>
      </c>
      <c r="N304" s="48"/>
      <c r="O304" s="49">
        <f>(F304/1000)*('System Assumptions'!$F$21*1000000)</f>
        <v>6427291623373.3125</v>
      </c>
      <c r="P304" s="49">
        <f t="shared" si="46"/>
        <v>-6854939999836.5996</v>
      </c>
      <c r="Q304" s="48">
        <f t="shared" si="43"/>
        <v>741406935982977.88</v>
      </c>
      <c r="R304" s="53">
        <f t="shared" si="44"/>
        <v>54.717964710930154</v>
      </c>
      <c r="S304" s="52">
        <v>35</v>
      </c>
    </row>
    <row r="305" spans="1:19">
      <c r="A305" s="3">
        <f t="shared" si="40"/>
        <v>26</v>
      </c>
      <c r="B305" s="3">
        <f t="shared" si="48"/>
        <v>303</v>
      </c>
      <c r="C305" s="40">
        <f t="shared" si="41"/>
        <v>13549607334.625124</v>
      </c>
      <c r="D305" s="41">
        <f>'System Assumptions'!$E$11/12</f>
        <v>75242280</v>
      </c>
      <c r="E305" s="41">
        <f>-'System Assumptions'!$E$10/12</f>
        <v>-133627000</v>
      </c>
      <c r="F305" s="41">
        <f>IF(I304&lt;'System Assumptions'!$E$29,'Hydrological Data Model'!$E$33/12,'Hydrological Data Model'!$E$33/12)</f>
        <v>183636903.52495179</v>
      </c>
      <c r="G305" s="42">
        <f>IF(I304&lt;'System Assumptions'!$E$29,0,-(MIN('Hydrological Data Model'!$E$34,'Hydrological Data Model'!$E$33-'System Assumptions'!$E$12))/12)</f>
        <v>-125252183.52495177</v>
      </c>
      <c r="H305" s="42">
        <f t="shared" si="45"/>
        <v>13549607334.625124</v>
      </c>
      <c r="I305" s="106">
        <f>H305/'System Assumptions'!$F$15</f>
        <v>15.252270619126433</v>
      </c>
      <c r="J305" s="42">
        <f>'System Assumptions'!$E$30+'System Assumptions'!$E$28-'Data Model Calculations'!I305</f>
        <v>64.501329380873571</v>
      </c>
      <c r="K305" s="45">
        <f t="shared" si="47"/>
        <v>54.717964710930154</v>
      </c>
      <c r="L305" s="46">
        <f t="shared" si="42"/>
        <v>741406935982977.88</v>
      </c>
      <c r="M305" s="47">
        <f>D305/1000*('System Assumptions'!$F$20*1000000)</f>
        <v>276691425000.00018</v>
      </c>
      <c r="N305" s="48"/>
      <c r="O305" s="49">
        <f>(F305/1000)*('System Assumptions'!$F$21*1000000)</f>
        <v>6427291623373.3125</v>
      </c>
      <c r="P305" s="49">
        <f t="shared" si="46"/>
        <v>-6853544558085.2578</v>
      </c>
      <c r="Q305" s="48">
        <f t="shared" si="43"/>
        <v>741257374473266</v>
      </c>
      <c r="R305" s="53">
        <f t="shared" si="44"/>
        <v>54.706926641263763</v>
      </c>
      <c r="S305" s="52">
        <v>35</v>
      </c>
    </row>
    <row r="306" spans="1:19">
      <c r="A306" s="3">
        <f t="shared" si="40"/>
        <v>26</v>
      </c>
      <c r="B306" s="3">
        <f t="shared" si="48"/>
        <v>304</v>
      </c>
      <c r="C306" s="40">
        <f t="shared" si="41"/>
        <v>13549607334.625124</v>
      </c>
      <c r="D306" s="41">
        <f>'System Assumptions'!$E$11/12</f>
        <v>75242280</v>
      </c>
      <c r="E306" s="41">
        <f>-'System Assumptions'!$E$10/12</f>
        <v>-133627000</v>
      </c>
      <c r="F306" s="41">
        <f>IF(I305&lt;'System Assumptions'!$E$29,'Hydrological Data Model'!$E$33/12,'Hydrological Data Model'!$E$33/12)</f>
        <v>183636903.52495179</v>
      </c>
      <c r="G306" s="42">
        <f>IF(I305&lt;'System Assumptions'!$E$29,0,-(MIN('Hydrological Data Model'!$E$34,'Hydrological Data Model'!$E$33-'System Assumptions'!$E$12))/12)</f>
        <v>-125252183.52495177</v>
      </c>
      <c r="H306" s="42">
        <f t="shared" si="45"/>
        <v>13549607334.625124</v>
      </c>
      <c r="I306" s="106">
        <f>H306/'System Assumptions'!$F$15</f>
        <v>15.252270619126433</v>
      </c>
      <c r="J306" s="42">
        <f>'System Assumptions'!$E$30+'System Assumptions'!$E$28-'Data Model Calculations'!I306</f>
        <v>64.501329380873571</v>
      </c>
      <c r="K306" s="45">
        <f t="shared" si="47"/>
        <v>54.706926641263763</v>
      </c>
      <c r="L306" s="46">
        <f t="shared" si="42"/>
        <v>741257374473266</v>
      </c>
      <c r="M306" s="47">
        <f>D306/1000*('System Assumptions'!$F$20*1000000)</f>
        <v>276691425000.00018</v>
      </c>
      <c r="N306" s="48"/>
      <c r="O306" s="49">
        <f>(F306/1000)*('System Assumptions'!$F$21*1000000)</f>
        <v>6427291623373.3125</v>
      </c>
      <c r="P306" s="49">
        <f t="shared" si="46"/>
        <v>-6852162015757.6416</v>
      </c>
      <c r="Q306" s="48">
        <f t="shared" si="43"/>
        <v>741109195505881.63</v>
      </c>
      <c r="R306" s="53">
        <f t="shared" si="44"/>
        <v>54.695990607198347</v>
      </c>
      <c r="S306" s="52">
        <v>35</v>
      </c>
    </row>
    <row r="307" spans="1:19">
      <c r="A307" s="3">
        <f t="shared" ref="A307:A310" si="49">IF(MOD(B307,12)=1,A306+1,A306)</f>
        <v>26</v>
      </c>
      <c r="B307" s="3">
        <f t="shared" si="48"/>
        <v>305</v>
      </c>
      <c r="C307" s="40">
        <f t="shared" ref="C307:C310" si="50">H306</f>
        <v>13549607334.625124</v>
      </c>
      <c r="D307" s="41">
        <f>'System Assumptions'!$E$11/12</f>
        <v>75242280</v>
      </c>
      <c r="E307" s="41">
        <f>-'System Assumptions'!$E$10/12</f>
        <v>-133627000</v>
      </c>
      <c r="F307" s="41">
        <f>IF(I306&lt;'System Assumptions'!$E$29,'Hydrological Data Model'!$E$33/12,'Hydrological Data Model'!$E$33/12)</f>
        <v>183636903.52495179</v>
      </c>
      <c r="G307" s="42">
        <f>IF(I306&lt;'System Assumptions'!$E$29,0,-(MIN('Hydrological Data Model'!$E$34,'Hydrological Data Model'!$E$33-'System Assumptions'!$E$12))/12)</f>
        <v>-125252183.52495177</v>
      </c>
      <c r="H307" s="42">
        <f t="shared" si="45"/>
        <v>13549607334.625124</v>
      </c>
      <c r="I307" s="106">
        <f>H307/'System Assumptions'!$F$15</f>
        <v>15.252270619126433</v>
      </c>
      <c r="J307" s="42">
        <f>'System Assumptions'!$E$30+'System Assumptions'!$E$28-'Data Model Calculations'!I307</f>
        <v>64.501329380873571</v>
      </c>
      <c r="K307" s="45">
        <f t="shared" si="47"/>
        <v>54.695990607198347</v>
      </c>
      <c r="L307" s="46">
        <f t="shared" ref="L307:L310" si="51">Q306</f>
        <v>741109195505881.63</v>
      </c>
      <c r="M307" s="47">
        <f>D307/1000*('System Assumptions'!$F$20*1000000)</f>
        <v>276691425000.00018</v>
      </c>
      <c r="N307" s="48"/>
      <c r="O307" s="49">
        <f>(F307/1000)*('System Assumptions'!$F$21*1000000)</f>
        <v>6427291623373.3125</v>
      </c>
      <c r="P307" s="49">
        <f t="shared" si="46"/>
        <v>-6850792253611.8447</v>
      </c>
      <c r="Q307" s="48">
        <f t="shared" ref="Q307:Q310" si="52">SUM(L307:P307)</f>
        <v>740962386300643.13</v>
      </c>
      <c r="R307" s="53">
        <f t="shared" ref="R307:R310" si="53">(Q307*1000)/(H307*1000000)</f>
        <v>54.685155665519751</v>
      </c>
      <c r="S307" s="52">
        <v>35</v>
      </c>
    </row>
    <row r="308" spans="1:19">
      <c r="A308" s="3">
        <f t="shared" si="49"/>
        <v>26</v>
      </c>
      <c r="B308" s="3">
        <f t="shared" si="48"/>
        <v>306</v>
      </c>
      <c r="C308" s="40">
        <f t="shared" si="50"/>
        <v>13549607334.625124</v>
      </c>
      <c r="D308" s="41">
        <f>'System Assumptions'!$E$11/12</f>
        <v>75242280</v>
      </c>
      <c r="E308" s="41">
        <f>-'System Assumptions'!$E$10/12</f>
        <v>-133627000</v>
      </c>
      <c r="F308" s="41">
        <f>IF(I307&lt;'System Assumptions'!$E$29,'Hydrological Data Model'!$E$33/12,'Hydrological Data Model'!$E$33/12)</f>
        <v>183636903.52495179</v>
      </c>
      <c r="G308" s="42">
        <f>IF(I307&lt;'System Assumptions'!$E$29,0,-(MIN('Hydrological Data Model'!$E$34,'Hydrological Data Model'!$E$33-'System Assumptions'!$E$12))/12)</f>
        <v>-125252183.52495177</v>
      </c>
      <c r="H308" s="42">
        <f t="shared" si="45"/>
        <v>13549607334.625124</v>
      </c>
      <c r="I308" s="106">
        <f>H308/'System Assumptions'!$F$15</f>
        <v>15.252270619126433</v>
      </c>
      <c r="J308" s="42">
        <f>'System Assumptions'!$E$30+'System Assumptions'!$E$28-'Data Model Calculations'!I308</f>
        <v>64.501329380873571</v>
      </c>
      <c r="K308" s="45">
        <f t="shared" si="47"/>
        <v>54.685155665519751</v>
      </c>
      <c r="L308" s="46">
        <f t="shared" si="51"/>
        <v>740962386300643.13</v>
      </c>
      <c r="M308" s="47">
        <f>D308/1000*('System Assumptions'!$F$20*1000000)</f>
        <v>276691425000.00018</v>
      </c>
      <c r="N308" s="48"/>
      <c r="O308" s="49">
        <f>(F308/1000)*('System Assumptions'!$F$21*1000000)</f>
        <v>6427291623373.3125</v>
      </c>
      <c r="P308" s="49">
        <f t="shared" si="46"/>
        <v>-6849435153508.2363</v>
      </c>
      <c r="Q308" s="48">
        <f t="shared" si="52"/>
        <v>740816934195508.25</v>
      </c>
      <c r="R308" s="53">
        <f t="shared" si="53"/>
        <v>54.674420881732836</v>
      </c>
      <c r="S308" s="52">
        <v>35</v>
      </c>
    </row>
    <row r="309" spans="1:19">
      <c r="A309" s="3">
        <f t="shared" si="49"/>
        <v>26</v>
      </c>
      <c r="B309" s="3">
        <f t="shared" si="48"/>
        <v>307</v>
      </c>
      <c r="C309" s="40">
        <f t="shared" si="50"/>
        <v>13549607334.625124</v>
      </c>
      <c r="D309" s="41">
        <f>'System Assumptions'!$E$11/12</f>
        <v>75242280</v>
      </c>
      <c r="E309" s="41">
        <f>-'System Assumptions'!$E$10/12</f>
        <v>-133627000</v>
      </c>
      <c r="F309" s="41">
        <f>IF(I308&lt;'System Assumptions'!$E$29,'Hydrological Data Model'!$E$33/12,'Hydrological Data Model'!$E$33/12)</f>
        <v>183636903.52495179</v>
      </c>
      <c r="G309" s="42">
        <f>IF(I308&lt;'System Assumptions'!$E$29,0,-(MIN('Hydrological Data Model'!$E$34,'Hydrological Data Model'!$E$33-'System Assumptions'!$E$12))/12)</f>
        <v>-125252183.52495177</v>
      </c>
      <c r="H309" s="42">
        <f t="shared" si="45"/>
        <v>13549607334.625124</v>
      </c>
      <c r="I309" s="106">
        <f>H309/'System Assumptions'!$F$15</f>
        <v>15.252270619126433</v>
      </c>
      <c r="J309" s="42">
        <f>'System Assumptions'!$E$30+'System Assumptions'!$E$28-'Data Model Calculations'!I309</f>
        <v>64.501329380873571</v>
      </c>
      <c r="K309" s="45">
        <f t="shared" si="47"/>
        <v>54.674420881732836</v>
      </c>
      <c r="L309" s="46">
        <f t="shared" si="51"/>
        <v>740816934195508.25</v>
      </c>
      <c r="M309" s="47">
        <f>D309/1000*('System Assumptions'!$F$20*1000000)</f>
        <v>276691425000.00018</v>
      </c>
      <c r="N309" s="48"/>
      <c r="O309" s="49">
        <f>(F309/1000)*('System Assumptions'!$F$21*1000000)</f>
        <v>6427291623373.3125</v>
      </c>
      <c r="P309" s="49">
        <f t="shared" si="46"/>
        <v>-6848090598399.2559</v>
      </c>
      <c r="Q309" s="48">
        <f t="shared" si="52"/>
        <v>740672826645482.25</v>
      </c>
      <c r="R309" s="53">
        <f t="shared" si="53"/>
        <v>54.663785329980882</v>
      </c>
      <c r="S309" s="52">
        <v>35</v>
      </c>
    </row>
    <row r="310" spans="1:19">
      <c r="A310" s="3">
        <f t="shared" si="49"/>
        <v>26</v>
      </c>
      <c r="B310" s="3">
        <f t="shared" si="48"/>
        <v>308</v>
      </c>
      <c r="C310" s="40">
        <f t="shared" si="50"/>
        <v>13549607334.625124</v>
      </c>
      <c r="D310" s="41">
        <f>'System Assumptions'!$E$11/12</f>
        <v>75242280</v>
      </c>
      <c r="E310" s="41">
        <f>-'System Assumptions'!$E$10/12</f>
        <v>-133627000</v>
      </c>
      <c r="F310" s="41">
        <f>IF(I309&lt;'System Assumptions'!$E$29,'Hydrological Data Model'!$E$33/12,'Hydrological Data Model'!$E$33/12)</f>
        <v>183636903.52495179</v>
      </c>
      <c r="G310" s="42">
        <f>IF(I309&lt;'System Assumptions'!$E$29,0,-(MIN('Hydrological Data Model'!$E$34,'Hydrological Data Model'!$E$33-'System Assumptions'!$E$12))/12)</f>
        <v>-125252183.52495177</v>
      </c>
      <c r="H310" s="42">
        <f t="shared" si="45"/>
        <v>13549607334.625124</v>
      </c>
      <c r="I310" s="106">
        <f>H310/'System Assumptions'!$F$15</f>
        <v>15.252270619126433</v>
      </c>
      <c r="J310" s="42">
        <f>'System Assumptions'!$E$30+'System Assumptions'!$E$28-'Data Model Calculations'!I310</f>
        <v>64.501329380873571</v>
      </c>
      <c r="K310" s="45">
        <f t="shared" si="47"/>
        <v>54.663785329980882</v>
      </c>
      <c r="L310" s="46">
        <f t="shared" si="51"/>
        <v>740672826645482.25</v>
      </c>
      <c r="M310" s="47">
        <f>D310/1000*('System Assumptions'!$F$20*1000000)</f>
        <v>276691425000.00018</v>
      </c>
      <c r="N310" s="48"/>
      <c r="O310" s="49">
        <f>(F310/1000)*('System Assumptions'!$F$21*1000000)</f>
        <v>6427291623373.3125</v>
      </c>
      <c r="P310" s="49">
        <f t="shared" si="46"/>
        <v>-6846758472319.332</v>
      </c>
      <c r="Q310" s="48">
        <f t="shared" si="52"/>
        <v>740530051221536.13</v>
      </c>
      <c r="R310" s="53">
        <f t="shared" si="53"/>
        <v>54.653248092965811</v>
      </c>
      <c r="S310" s="52">
        <v>35</v>
      </c>
    </row>
    <row r="311" spans="1:19">
      <c r="A311" s="3">
        <f t="shared" ref="A311:A335" si="54">IF(MOD(B311,12)=1,A310+1,A310)</f>
        <v>26</v>
      </c>
      <c r="B311" s="3">
        <f t="shared" si="48"/>
        <v>309</v>
      </c>
      <c r="C311" s="40">
        <f t="shared" ref="C311:C335" si="55">H310</f>
        <v>13549607334.625124</v>
      </c>
      <c r="D311" s="41">
        <f>'System Assumptions'!$E$11/12</f>
        <v>75242280</v>
      </c>
      <c r="E311" s="41">
        <f>-'System Assumptions'!$E$10/12</f>
        <v>-133627000</v>
      </c>
      <c r="F311" s="41">
        <f>IF(I310&lt;'System Assumptions'!$E$29,'Hydrological Data Model'!$E$33/12,'Hydrological Data Model'!$E$33/12)</f>
        <v>183636903.52495179</v>
      </c>
      <c r="G311" s="42">
        <f>IF(I310&lt;'System Assumptions'!$E$29,0,-(MIN('Hydrological Data Model'!$E$34,'Hydrological Data Model'!$E$33-'System Assumptions'!$E$12))/12)</f>
        <v>-125252183.52495177</v>
      </c>
      <c r="H311" s="42">
        <f t="shared" si="45"/>
        <v>13549607334.625124</v>
      </c>
      <c r="I311" s="106">
        <f>H311/'System Assumptions'!$F$15</f>
        <v>15.252270619126433</v>
      </c>
      <c r="J311" s="42">
        <f>'System Assumptions'!$E$30+'System Assumptions'!$E$28-'Data Model Calculations'!I311</f>
        <v>64.501329380873571</v>
      </c>
      <c r="K311" s="45">
        <f t="shared" si="47"/>
        <v>54.653248092965811</v>
      </c>
      <c r="L311" s="46">
        <f t="shared" ref="L311:L335" si="56">Q310</f>
        <v>740530051221536.13</v>
      </c>
      <c r="M311" s="47">
        <f>D311/1000*('System Assumptions'!$F$20*1000000)</f>
        <v>276691425000.00018</v>
      </c>
      <c r="N311" s="48"/>
      <c r="O311" s="49">
        <f>(F311/1000)*('System Assumptions'!$F$21*1000000)</f>
        <v>6427291623373.3125</v>
      </c>
      <c r="P311" s="49">
        <f t="shared" si="46"/>
        <v>-6845438660374.874</v>
      </c>
      <c r="Q311" s="48">
        <f t="shared" ref="Q311:Q335" si="57">SUM(L311:P311)</f>
        <v>740388595609534.63</v>
      </c>
      <c r="R311" s="53">
        <f t="shared" ref="R311:R335" si="58">(Q311*1000)/(H311*1000000)</f>
        <v>54.642808261869007</v>
      </c>
      <c r="S311" s="52">
        <v>35</v>
      </c>
    </row>
    <row r="312" spans="1:19">
      <c r="A312" s="3">
        <f t="shared" si="54"/>
        <v>26</v>
      </c>
      <c r="B312" s="3">
        <f t="shared" si="48"/>
        <v>310</v>
      </c>
      <c r="C312" s="40">
        <f t="shared" si="55"/>
        <v>13549607334.625124</v>
      </c>
      <c r="D312" s="41">
        <f>'System Assumptions'!$E$11/12</f>
        <v>75242280</v>
      </c>
      <c r="E312" s="41">
        <f>-'System Assumptions'!$E$10/12</f>
        <v>-133627000</v>
      </c>
      <c r="F312" s="41">
        <f>IF(I311&lt;'System Assumptions'!$E$29,'Hydrological Data Model'!$E$33/12,'Hydrological Data Model'!$E$33/12)</f>
        <v>183636903.52495179</v>
      </c>
      <c r="G312" s="42">
        <f>IF(I311&lt;'System Assumptions'!$E$29,0,-(MIN('Hydrological Data Model'!$E$34,'Hydrological Data Model'!$E$33-'System Assumptions'!$E$12))/12)</f>
        <v>-125252183.52495177</v>
      </c>
      <c r="H312" s="42">
        <f t="shared" si="45"/>
        <v>13549607334.625124</v>
      </c>
      <c r="I312" s="106">
        <f>H312/'System Assumptions'!$F$15</f>
        <v>15.252270619126433</v>
      </c>
      <c r="J312" s="42">
        <f>'System Assumptions'!$E$30+'System Assumptions'!$E$28-'Data Model Calculations'!I312</f>
        <v>64.501329380873571</v>
      </c>
      <c r="K312" s="45">
        <f t="shared" si="47"/>
        <v>54.642808261869007</v>
      </c>
      <c r="L312" s="46">
        <f t="shared" si="56"/>
        <v>740388595609534.63</v>
      </c>
      <c r="M312" s="47">
        <f>D312/1000*('System Assumptions'!$F$20*1000000)</f>
        <v>276691425000.00018</v>
      </c>
      <c r="N312" s="48"/>
      <c r="O312" s="49">
        <f>(F312/1000)*('System Assumptions'!$F$21*1000000)</f>
        <v>6427291623373.3125</v>
      </c>
      <c r="P312" s="49">
        <f t="shared" si="46"/>
        <v>-6844131048734.3672</v>
      </c>
      <c r="Q312" s="48">
        <f t="shared" si="57"/>
        <v>740248447609173.63</v>
      </c>
      <c r="R312" s="53">
        <f t="shared" si="58"/>
        <v>54.632464936272932</v>
      </c>
      <c r="S312" s="52">
        <v>35</v>
      </c>
    </row>
    <row r="313" spans="1:19">
      <c r="A313" s="3">
        <f t="shared" si="54"/>
        <v>26</v>
      </c>
      <c r="B313" s="3">
        <f t="shared" si="48"/>
        <v>311</v>
      </c>
      <c r="C313" s="40">
        <f t="shared" si="55"/>
        <v>13549607334.625124</v>
      </c>
      <c r="D313" s="41">
        <f>'System Assumptions'!$E$11/12</f>
        <v>75242280</v>
      </c>
      <c r="E313" s="41">
        <f>-'System Assumptions'!$E$10/12</f>
        <v>-133627000</v>
      </c>
      <c r="F313" s="41">
        <f>IF(I312&lt;'System Assumptions'!$E$29,'Hydrological Data Model'!$E$33/12,'Hydrological Data Model'!$E$33/12)</f>
        <v>183636903.52495179</v>
      </c>
      <c r="G313" s="42">
        <f>IF(I312&lt;'System Assumptions'!$E$29,0,-(MIN('Hydrological Data Model'!$E$34,'Hydrological Data Model'!$E$33-'System Assumptions'!$E$12))/12)</f>
        <v>-125252183.52495177</v>
      </c>
      <c r="H313" s="42">
        <f t="shared" si="45"/>
        <v>13549607334.625124</v>
      </c>
      <c r="I313" s="106">
        <f>H313/'System Assumptions'!$F$15</f>
        <v>15.252270619126433</v>
      </c>
      <c r="J313" s="42">
        <f>'System Assumptions'!$E$30+'System Assumptions'!$E$28-'Data Model Calculations'!I313</f>
        <v>64.501329380873571</v>
      </c>
      <c r="K313" s="45">
        <f t="shared" si="47"/>
        <v>54.632464936272932</v>
      </c>
      <c r="L313" s="46">
        <f t="shared" si="56"/>
        <v>740248447609173.63</v>
      </c>
      <c r="M313" s="47">
        <f>D313/1000*('System Assumptions'!$F$20*1000000)</f>
        <v>276691425000.00018</v>
      </c>
      <c r="N313" s="48"/>
      <c r="O313" s="49">
        <f>(F313/1000)*('System Assumptions'!$F$21*1000000)</f>
        <v>6427291623373.3125</v>
      </c>
      <c r="P313" s="49">
        <f t="shared" si="46"/>
        <v>-6842835524618.5498</v>
      </c>
      <c r="Q313" s="48">
        <f t="shared" si="57"/>
        <v>740109595132928.5</v>
      </c>
      <c r="R313" s="53">
        <f t="shared" si="58"/>
        <v>54.622217224083492</v>
      </c>
      <c r="S313" s="52">
        <v>35</v>
      </c>
    </row>
    <row r="314" spans="1:19">
      <c r="A314" s="3">
        <f t="shared" si="54"/>
        <v>26</v>
      </c>
      <c r="B314" s="3">
        <f t="shared" si="48"/>
        <v>312</v>
      </c>
      <c r="C314" s="40">
        <f t="shared" si="55"/>
        <v>13549607334.625124</v>
      </c>
      <c r="D314" s="41">
        <f>'System Assumptions'!$E$11/12</f>
        <v>75242280</v>
      </c>
      <c r="E314" s="41">
        <f>-'System Assumptions'!$E$10/12</f>
        <v>-133627000</v>
      </c>
      <c r="F314" s="41">
        <f>IF(I313&lt;'System Assumptions'!$E$29,'Hydrological Data Model'!$E$33/12,'Hydrological Data Model'!$E$33/12)</f>
        <v>183636903.52495179</v>
      </c>
      <c r="G314" s="42">
        <f>IF(I313&lt;'System Assumptions'!$E$29,0,-(MIN('Hydrological Data Model'!$E$34,'Hydrological Data Model'!$E$33-'System Assumptions'!$E$12))/12)</f>
        <v>-125252183.52495177</v>
      </c>
      <c r="H314" s="42">
        <f t="shared" si="45"/>
        <v>13549607334.625124</v>
      </c>
      <c r="I314" s="106">
        <f>H314/'System Assumptions'!$F$15</f>
        <v>15.252270619126433</v>
      </c>
      <c r="J314" s="42">
        <f>'System Assumptions'!$E$30+'System Assumptions'!$E$28-'Data Model Calculations'!I314</f>
        <v>64.501329380873571</v>
      </c>
      <c r="K314" s="45">
        <f t="shared" si="47"/>
        <v>54.622217224083492</v>
      </c>
      <c r="L314" s="46">
        <f t="shared" si="56"/>
        <v>740109595132928.5</v>
      </c>
      <c r="M314" s="47">
        <f>D314/1000*('System Assumptions'!$F$20*1000000)</f>
        <v>276691425000.00018</v>
      </c>
      <c r="N314" s="48"/>
      <c r="O314" s="49">
        <f>(F314/1000)*('System Assumptions'!$F$21*1000000)</f>
        <v>6427291623373.3125</v>
      </c>
      <c r="P314" s="49">
        <f t="shared" si="46"/>
        <v>-6841551976290.6865</v>
      </c>
      <c r="Q314" s="48">
        <f t="shared" si="57"/>
        <v>739972026205011.13</v>
      </c>
      <c r="R314" s="53">
        <f t="shared" si="58"/>
        <v>54.612064241453076</v>
      </c>
      <c r="S314" s="52">
        <v>35</v>
      </c>
    </row>
    <row r="315" spans="1:19">
      <c r="A315" s="3">
        <f t="shared" si="54"/>
        <v>27</v>
      </c>
      <c r="B315" s="3">
        <f t="shared" si="48"/>
        <v>313</v>
      </c>
      <c r="C315" s="40">
        <f t="shared" si="55"/>
        <v>13549607334.625124</v>
      </c>
      <c r="D315" s="41">
        <f>'System Assumptions'!$E$11/12</f>
        <v>75242280</v>
      </c>
      <c r="E315" s="41">
        <f>-'System Assumptions'!$E$10/12</f>
        <v>-133627000</v>
      </c>
      <c r="F315" s="41">
        <f>IF(I314&lt;'System Assumptions'!$E$29,'Hydrological Data Model'!$E$33/12,'Hydrological Data Model'!$E$33/12)</f>
        <v>183636903.52495179</v>
      </c>
      <c r="G315" s="42">
        <f>IF(I314&lt;'System Assumptions'!$E$29,0,-(MIN('Hydrological Data Model'!$E$34,'Hydrological Data Model'!$E$33-'System Assumptions'!$E$12))/12)</f>
        <v>-125252183.52495177</v>
      </c>
      <c r="H315" s="42">
        <f t="shared" si="45"/>
        <v>13549607334.625124</v>
      </c>
      <c r="I315" s="106">
        <f>H315/'System Assumptions'!$F$15</f>
        <v>15.252270619126433</v>
      </c>
      <c r="J315" s="42">
        <f>'System Assumptions'!$E$30+'System Assumptions'!$E$28-'Data Model Calculations'!I315</f>
        <v>64.501329380873571</v>
      </c>
      <c r="K315" s="45">
        <f t="shared" si="47"/>
        <v>54.612064241453076</v>
      </c>
      <c r="L315" s="46">
        <f t="shared" si="56"/>
        <v>739972026205011.13</v>
      </c>
      <c r="M315" s="47">
        <f>D315/1000*('System Assumptions'!$F$20*1000000)</f>
        <v>276691425000.00018</v>
      </c>
      <c r="N315" s="48"/>
      <c r="O315" s="49">
        <f>(F315/1000)*('System Assumptions'!$F$21*1000000)</f>
        <v>6427291623373.3125</v>
      </c>
      <c r="P315" s="49">
        <f t="shared" si="46"/>
        <v>-6840280293046.9355</v>
      </c>
      <c r="Q315" s="48">
        <f t="shared" si="57"/>
        <v>739835728960337.63</v>
      </c>
      <c r="R315" s="53">
        <f t="shared" si="58"/>
        <v>54.602005112704369</v>
      </c>
      <c r="S315" s="52">
        <v>35</v>
      </c>
    </row>
    <row r="316" spans="1:19">
      <c r="A316" s="3">
        <f t="shared" si="54"/>
        <v>27</v>
      </c>
      <c r="B316" s="3">
        <f t="shared" si="48"/>
        <v>314</v>
      </c>
      <c r="C316" s="40">
        <f t="shared" si="55"/>
        <v>13549607334.625124</v>
      </c>
      <c r="D316" s="41">
        <f>'System Assumptions'!$E$11/12</f>
        <v>75242280</v>
      </c>
      <c r="E316" s="41">
        <f>-'System Assumptions'!$E$10/12</f>
        <v>-133627000</v>
      </c>
      <c r="F316" s="41">
        <f>IF(I315&lt;'System Assumptions'!$E$29,'Hydrological Data Model'!$E$33/12,'Hydrological Data Model'!$E$33/12)</f>
        <v>183636903.52495179</v>
      </c>
      <c r="G316" s="42">
        <f>IF(I315&lt;'System Assumptions'!$E$29,0,-(MIN('Hydrological Data Model'!$E$34,'Hydrological Data Model'!$E$33-'System Assumptions'!$E$12))/12)</f>
        <v>-125252183.52495177</v>
      </c>
      <c r="H316" s="42">
        <f t="shared" si="45"/>
        <v>13549607334.625124</v>
      </c>
      <c r="I316" s="106">
        <f>H316/'System Assumptions'!$F$15</f>
        <v>15.252270619126433</v>
      </c>
      <c r="J316" s="42">
        <f>'System Assumptions'!$E$30+'System Assumptions'!$E$28-'Data Model Calculations'!I316</f>
        <v>64.501329380873571</v>
      </c>
      <c r="K316" s="45">
        <f t="shared" si="47"/>
        <v>54.602005112704369</v>
      </c>
      <c r="L316" s="46">
        <f t="shared" si="56"/>
        <v>739835728960337.63</v>
      </c>
      <c r="M316" s="47">
        <f>D316/1000*('System Assumptions'!$F$20*1000000)</f>
        <v>276691425000.00018</v>
      </c>
      <c r="N316" s="48"/>
      <c r="O316" s="49">
        <f>(F316/1000)*('System Assumptions'!$F$21*1000000)</f>
        <v>6427291623373.3125</v>
      </c>
      <c r="P316" s="49">
        <f t="shared" si="46"/>
        <v>-6839020365206.8018</v>
      </c>
      <c r="Q316" s="48">
        <f t="shared" si="57"/>
        <v>739700691643504.25</v>
      </c>
      <c r="R316" s="53">
        <f t="shared" si="58"/>
        <v>54.592038970254741</v>
      </c>
      <c r="S316" s="52">
        <v>35</v>
      </c>
    </row>
    <row r="317" spans="1:19">
      <c r="A317" s="3">
        <f t="shared" si="54"/>
        <v>27</v>
      </c>
      <c r="B317" s="3">
        <f t="shared" si="48"/>
        <v>315</v>
      </c>
      <c r="C317" s="40">
        <f t="shared" si="55"/>
        <v>13549607334.625124</v>
      </c>
      <c r="D317" s="41">
        <f>'System Assumptions'!$E$11/12</f>
        <v>75242280</v>
      </c>
      <c r="E317" s="41">
        <f>-'System Assumptions'!$E$10/12</f>
        <v>-133627000</v>
      </c>
      <c r="F317" s="41">
        <f>IF(I316&lt;'System Assumptions'!$E$29,'Hydrological Data Model'!$E$33/12,'Hydrological Data Model'!$E$33/12)</f>
        <v>183636903.52495179</v>
      </c>
      <c r="G317" s="42">
        <f>IF(I316&lt;'System Assumptions'!$E$29,0,-(MIN('Hydrological Data Model'!$E$34,'Hydrological Data Model'!$E$33-'System Assumptions'!$E$12))/12)</f>
        <v>-125252183.52495177</v>
      </c>
      <c r="H317" s="42">
        <f t="shared" si="45"/>
        <v>13549607334.625124</v>
      </c>
      <c r="I317" s="106">
        <f>H317/'System Assumptions'!$F$15</f>
        <v>15.252270619126433</v>
      </c>
      <c r="J317" s="42">
        <f>'System Assumptions'!$E$30+'System Assumptions'!$E$28-'Data Model Calculations'!I317</f>
        <v>64.501329380873571</v>
      </c>
      <c r="K317" s="45">
        <f t="shared" si="47"/>
        <v>54.592038970254741</v>
      </c>
      <c r="L317" s="46">
        <f t="shared" si="56"/>
        <v>739700691643504.25</v>
      </c>
      <c r="M317" s="47">
        <f>D317/1000*('System Assumptions'!$F$20*1000000)</f>
        <v>276691425000.00018</v>
      </c>
      <c r="N317" s="48"/>
      <c r="O317" s="49">
        <f>(F317/1000)*('System Assumptions'!$F$21*1000000)</f>
        <v>6427291623373.3125</v>
      </c>
      <c r="P317" s="49">
        <f t="shared" si="46"/>
        <v>-6837772084103.666</v>
      </c>
      <c r="Q317" s="48">
        <f t="shared" si="57"/>
        <v>739566902607773.88</v>
      </c>
      <c r="R317" s="53">
        <f t="shared" si="58"/>
        <v>54.582164954541497</v>
      </c>
      <c r="S317" s="52">
        <v>35</v>
      </c>
    </row>
    <row r="318" spans="1:19">
      <c r="A318" s="3">
        <f t="shared" si="54"/>
        <v>27</v>
      </c>
      <c r="B318" s="3">
        <f t="shared" si="48"/>
        <v>316</v>
      </c>
      <c r="C318" s="40">
        <f t="shared" si="55"/>
        <v>13549607334.625124</v>
      </c>
      <c r="D318" s="41">
        <f>'System Assumptions'!$E$11/12</f>
        <v>75242280</v>
      </c>
      <c r="E318" s="41">
        <f>-'System Assumptions'!$E$10/12</f>
        <v>-133627000</v>
      </c>
      <c r="F318" s="41">
        <f>IF(I317&lt;'System Assumptions'!$E$29,'Hydrological Data Model'!$E$33/12,'Hydrological Data Model'!$E$33/12)</f>
        <v>183636903.52495179</v>
      </c>
      <c r="G318" s="42">
        <f>IF(I317&lt;'System Assumptions'!$E$29,0,-(MIN('Hydrological Data Model'!$E$34,'Hydrological Data Model'!$E$33-'System Assumptions'!$E$12))/12)</f>
        <v>-125252183.52495177</v>
      </c>
      <c r="H318" s="42">
        <f t="shared" si="45"/>
        <v>13549607334.625124</v>
      </c>
      <c r="I318" s="106">
        <f>H318/'System Assumptions'!$F$15</f>
        <v>15.252270619126433</v>
      </c>
      <c r="J318" s="42">
        <f>'System Assumptions'!$E$30+'System Assumptions'!$E$28-'Data Model Calculations'!I318</f>
        <v>64.501329380873571</v>
      </c>
      <c r="K318" s="45">
        <f t="shared" si="47"/>
        <v>54.582164954541497</v>
      </c>
      <c r="L318" s="46">
        <f t="shared" si="56"/>
        <v>739566902607773.88</v>
      </c>
      <c r="M318" s="47">
        <f>D318/1000*('System Assumptions'!$F$20*1000000)</f>
        <v>276691425000.00018</v>
      </c>
      <c r="N318" s="48"/>
      <c r="O318" s="49">
        <f>(F318/1000)*('System Assumptions'!$F$21*1000000)</f>
        <v>6427291623373.3125</v>
      </c>
      <c r="P318" s="49">
        <f t="shared" si="46"/>
        <v>-6836535342075.4219</v>
      </c>
      <c r="Q318" s="48">
        <f t="shared" si="57"/>
        <v>739434350314071.88</v>
      </c>
      <c r="R318" s="53">
        <f t="shared" si="58"/>
        <v>54.572382213947741</v>
      </c>
      <c r="S318" s="52">
        <v>35</v>
      </c>
    </row>
    <row r="319" spans="1:19">
      <c r="A319" s="3">
        <f t="shared" si="54"/>
        <v>27</v>
      </c>
      <c r="B319" s="3">
        <f t="shared" si="48"/>
        <v>317</v>
      </c>
      <c r="C319" s="40">
        <f t="shared" si="55"/>
        <v>13549607334.625124</v>
      </c>
      <c r="D319" s="41">
        <f>'System Assumptions'!$E$11/12</f>
        <v>75242280</v>
      </c>
      <c r="E319" s="41">
        <f>-'System Assumptions'!$E$10/12</f>
        <v>-133627000</v>
      </c>
      <c r="F319" s="41">
        <f>IF(I318&lt;'System Assumptions'!$E$29,'Hydrological Data Model'!$E$33/12,'Hydrological Data Model'!$E$33/12)</f>
        <v>183636903.52495179</v>
      </c>
      <c r="G319" s="42">
        <f>IF(I318&lt;'System Assumptions'!$E$29,0,-(MIN('Hydrological Data Model'!$E$34,'Hydrological Data Model'!$E$33-'System Assumptions'!$E$12))/12)</f>
        <v>-125252183.52495177</v>
      </c>
      <c r="H319" s="42">
        <f t="shared" si="45"/>
        <v>13549607334.625124</v>
      </c>
      <c r="I319" s="106">
        <f>H319/'System Assumptions'!$F$15</f>
        <v>15.252270619126433</v>
      </c>
      <c r="J319" s="42">
        <f>'System Assumptions'!$E$30+'System Assumptions'!$E$28-'Data Model Calculations'!I319</f>
        <v>64.501329380873571</v>
      </c>
      <c r="K319" s="45">
        <f t="shared" si="47"/>
        <v>54.572382213947741</v>
      </c>
      <c r="L319" s="46">
        <f t="shared" si="56"/>
        <v>739434350314071.88</v>
      </c>
      <c r="M319" s="47">
        <f>D319/1000*('System Assumptions'!$F$20*1000000)</f>
        <v>276691425000.00018</v>
      </c>
      <c r="N319" s="48"/>
      <c r="O319" s="49">
        <f>(F319/1000)*('System Assumptions'!$F$21*1000000)</f>
        <v>6427291623373.3125</v>
      </c>
      <c r="P319" s="49">
        <f t="shared" si="46"/>
        <v>-6835310032455.1963</v>
      </c>
      <c r="Q319" s="48">
        <f t="shared" si="57"/>
        <v>739303023329990</v>
      </c>
      <c r="R319" s="53">
        <f t="shared" si="58"/>
        <v>54.562689904728835</v>
      </c>
      <c r="S319" s="52">
        <v>35</v>
      </c>
    </row>
    <row r="320" spans="1:19">
      <c r="A320" s="3">
        <f t="shared" si="54"/>
        <v>27</v>
      </c>
      <c r="B320" s="3">
        <f t="shared" si="48"/>
        <v>318</v>
      </c>
      <c r="C320" s="40">
        <f t="shared" si="55"/>
        <v>13549607334.625124</v>
      </c>
      <c r="D320" s="41">
        <f>'System Assumptions'!$E$11/12</f>
        <v>75242280</v>
      </c>
      <c r="E320" s="41">
        <f>-'System Assumptions'!$E$10/12</f>
        <v>-133627000</v>
      </c>
      <c r="F320" s="41">
        <f>IF(I319&lt;'System Assumptions'!$E$29,'Hydrological Data Model'!$E$33/12,'Hydrological Data Model'!$E$33/12)</f>
        <v>183636903.52495179</v>
      </c>
      <c r="G320" s="42">
        <f>IF(I319&lt;'System Assumptions'!$E$29,0,-(MIN('Hydrological Data Model'!$E$34,'Hydrological Data Model'!$E$33-'System Assumptions'!$E$12))/12)</f>
        <v>-125252183.52495177</v>
      </c>
      <c r="H320" s="42">
        <f t="shared" si="45"/>
        <v>13549607334.625124</v>
      </c>
      <c r="I320" s="106">
        <f>H320/'System Assumptions'!$F$15</f>
        <v>15.252270619126433</v>
      </c>
      <c r="J320" s="42">
        <f>'System Assumptions'!$E$30+'System Assumptions'!$E$28-'Data Model Calculations'!I320</f>
        <v>64.501329380873571</v>
      </c>
      <c r="K320" s="45">
        <f t="shared" si="47"/>
        <v>54.562689904728835</v>
      </c>
      <c r="L320" s="46">
        <f t="shared" si="56"/>
        <v>739303023329990</v>
      </c>
      <c r="M320" s="47">
        <f>D320/1000*('System Assumptions'!$F$20*1000000)</f>
        <v>276691425000.00018</v>
      </c>
      <c r="N320" s="48"/>
      <c r="O320" s="49">
        <f>(F320/1000)*('System Assumptions'!$F$21*1000000)</f>
        <v>6427291623373.3125</v>
      </c>
      <c r="P320" s="49">
        <f t="shared" si="46"/>
        <v>-6834096049562.1289</v>
      </c>
      <c r="Q320" s="48">
        <f t="shared" si="57"/>
        <v>739172910328801.13</v>
      </c>
      <c r="R320" s="53">
        <f t="shared" si="58"/>
        <v>54.553087190939749</v>
      </c>
      <c r="S320" s="52">
        <v>35</v>
      </c>
    </row>
    <row r="321" spans="1:19">
      <c r="A321" s="3">
        <f t="shared" si="54"/>
        <v>27</v>
      </c>
      <c r="B321" s="3">
        <f t="shared" si="48"/>
        <v>319</v>
      </c>
      <c r="C321" s="40">
        <f t="shared" si="55"/>
        <v>13549607334.625124</v>
      </c>
      <c r="D321" s="41">
        <f>'System Assumptions'!$E$11/12</f>
        <v>75242280</v>
      </c>
      <c r="E321" s="41">
        <f>-'System Assumptions'!$E$10/12</f>
        <v>-133627000</v>
      </c>
      <c r="F321" s="41">
        <f>IF(I320&lt;'System Assumptions'!$E$29,'Hydrological Data Model'!$E$33/12,'Hydrological Data Model'!$E$33/12)</f>
        <v>183636903.52495179</v>
      </c>
      <c r="G321" s="42">
        <f>IF(I320&lt;'System Assumptions'!$E$29,0,-(MIN('Hydrological Data Model'!$E$34,'Hydrological Data Model'!$E$33-'System Assumptions'!$E$12))/12)</f>
        <v>-125252183.52495177</v>
      </c>
      <c r="H321" s="42">
        <f t="shared" si="45"/>
        <v>13549607334.625124</v>
      </c>
      <c r="I321" s="106">
        <f>H321/'System Assumptions'!$F$15</f>
        <v>15.252270619126433</v>
      </c>
      <c r="J321" s="42">
        <f>'System Assumptions'!$E$30+'System Assumptions'!$E$28-'Data Model Calculations'!I321</f>
        <v>64.501329380873571</v>
      </c>
      <c r="K321" s="45">
        <f t="shared" si="47"/>
        <v>54.553087190939749</v>
      </c>
      <c r="L321" s="46">
        <f t="shared" si="56"/>
        <v>739172910328801.13</v>
      </c>
      <c r="M321" s="47">
        <f>D321/1000*('System Assumptions'!$F$20*1000000)</f>
        <v>276691425000.00018</v>
      </c>
      <c r="N321" s="48"/>
      <c r="O321" s="49">
        <f>(F321/1000)*('System Assumptions'!$F$21*1000000)</f>
        <v>6427291623373.3125</v>
      </c>
      <c r="P321" s="49">
        <f t="shared" si="46"/>
        <v>-6832893288692.2813</v>
      </c>
      <c r="Q321" s="48">
        <f t="shared" si="57"/>
        <v>739044000088482.25</v>
      </c>
      <c r="R321" s="53">
        <f t="shared" si="58"/>
        <v>54.543573244362904</v>
      </c>
      <c r="S321" s="52">
        <v>35</v>
      </c>
    </row>
    <row r="322" spans="1:19">
      <c r="A322" s="3">
        <f t="shared" si="54"/>
        <v>27</v>
      </c>
      <c r="B322" s="3">
        <f t="shared" si="48"/>
        <v>320</v>
      </c>
      <c r="C322" s="40">
        <f t="shared" si="55"/>
        <v>13549607334.625124</v>
      </c>
      <c r="D322" s="41">
        <f>'System Assumptions'!$E$11/12</f>
        <v>75242280</v>
      </c>
      <c r="E322" s="41">
        <f>-'System Assumptions'!$E$10/12</f>
        <v>-133627000</v>
      </c>
      <c r="F322" s="41">
        <f>IF(I321&lt;'System Assumptions'!$E$29,'Hydrological Data Model'!$E$33/12,'Hydrological Data Model'!$E$33/12)</f>
        <v>183636903.52495179</v>
      </c>
      <c r="G322" s="42">
        <f>IF(I321&lt;'System Assumptions'!$E$29,0,-(MIN('Hydrological Data Model'!$E$34,'Hydrological Data Model'!$E$33-'System Assumptions'!$E$12))/12)</f>
        <v>-125252183.52495177</v>
      </c>
      <c r="H322" s="42">
        <f t="shared" si="45"/>
        <v>13549607334.625124</v>
      </c>
      <c r="I322" s="106">
        <f>H322/'System Assumptions'!$F$15</f>
        <v>15.252270619126433</v>
      </c>
      <c r="J322" s="42">
        <f>'System Assumptions'!$E$30+'System Assumptions'!$E$28-'Data Model Calculations'!I322</f>
        <v>64.501329380873571</v>
      </c>
      <c r="K322" s="45">
        <f t="shared" si="47"/>
        <v>54.543573244362904</v>
      </c>
      <c r="L322" s="46">
        <f t="shared" si="56"/>
        <v>739044000088482.25</v>
      </c>
      <c r="M322" s="47">
        <f>D322/1000*('System Assumptions'!$F$20*1000000)</f>
        <v>276691425000.00018</v>
      </c>
      <c r="N322" s="48"/>
      <c r="O322" s="49">
        <f>(F322/1000)*('System Assumptions'!$F$21*1000000)</f>
        <v>6427291623373.3125</v>
      </c>
      <c r="P322" s="49">
        <f t="shared" si="46"/>
        <v>-6831701646109.5908</v>
      </c>
      <c r="Q322" s="48">
        <f t="shared" si="57"/>
        <v>738916281490745.88</v>
      </c>
      <c r="R322" s="53">
        <f t="shared" si="58"/>
        <v>54.534147244436689</v>
      </c>
      <c r="S322" s="52">
        <v>35</v>
      </c>
    </row>
    <row r="323" spans="1:19">
      <c r="A323" s="3">
        <f t="shared" si="54"/>
        <v>27</v>
      </c>
      <c r="B323" s="3">
        <f t="shared" si="48"/>
        <v>321</v>
      </c>
      <c r="C323" s="40">
        <f t="shared" si="55"/>
        <v>13549607334.625124</v>
      </c>
      <c r="D323" s="41">
        <f>'System Assumptions'!$E$11/12</f>
        <v>75242280</v>
      </c>
      <c r="E323" s="41">
        <f>-'System Assumptions'!$E$10/12</f>
        <v>-133627000</v>
      </c>
      <c r="F323" s="41">
        <f>IF(I322&lt;'System Assumptions'!$E$29,'Hydrological Data Model'!$E$33/12,'Hydrological Data Model'!$E$33/12)</f>
        <v>183636903.52495179</v>
      </c>
      <c r="G323" s="42">
        <f>IF(I322&lt;'System Assumptions'!$E$29,0,-(MIN('Hydrological Data Model'!$E$34,'Hydrological Data Model'!$E$33-'System Assumptions'!$E$12))/12)</f>
        <v>-125252183.52495177</v>
      </c>
      <c r="H323" s="42">
        <f t="shared" ref="H323:H386" si="59">SUM(C323:G323)</f>
        <v>13549607334.625124</v>
      </c>
      <c r="I323" s="106">
        <f>H323/'System Assumptions'!$F$15</f>
        <v>15.252270619126433</v>
      </c>
      <c r="J323" s="42">
        <f>'System Assumptions'!$E$30+'System Assumptions'!$E$28-'Data Model Calculations'!I323</f>
        <v>64.501329380873571</v>
      </c>
      <c r="K323" s="45">
        <f t="shared" si="47"/>
        <v>54.534147244436689</v>
      </c>
      <c r="L323" s="46">
        <f t="shared" si="56"/>
        <v>738916281490745.88</v>
      </c>
      <c r="M323" s="47">
        <f>D323/1000*('System Assumptions'!$F$20*1000000)</f>
        <v>276691425000.00018</v>
      </c>
      <c r="N323" s="48"/>
      <c r="O323" s="49">
        <f>(F323/1000)*('System Assumptions'!$F$21*1000000)</f>
        <v>6427291623373.3125</v>
      </c>
      <c r="P323" s="49">
        <f t="shared" ref="P323:P386" si="60">(G323*1000000)*K323/1000</f>
        <v>-6830521019036.9268</v>
      </c>
      <c r="Q323" s="48">
        <f t="shared" si="57"/>
        <v>738789743520082.38</v>
      </c>
      <c r="R323" s="53">
        <f t="shared" si="58"/>
        <v>54.524808378184822</v>
      </c>
      <c r="S323" s="52">
        <v>35</v>
      </c>
    </row>
    <row r="324" spans="1:19">
      <c r="A324" s="3">
        <f t="shared" si="54"/>
        <v>27</v>
      </c>
      <c r="B324" s="3">
        <f t="shared" si="48"/>
        <v>322</v>
      </c>
      <c r="C324" s="40">
        <f t="shared" si="55"/>
        <v>13549607334.625124</v>
      </c>
      <c r="D324" s="41">
        <f>'System Assumptions'!$E$11/12</f>
        <v>75242280</v>
      </c>
      <c r="E324" s="41">
        <f>-'System Assumptions'!$E$10/12</f>
        <v>-133627000</v>
      </c>
      <c r="F324" s="41">
        <f>IF(I323&lt;'System Assumptions'!$E$29,'Hydrological Data Model'!$E$33/12,'Hydrological Data Model'!$E$33/12)</f>
        <v>183636903.52495179</v>
      </c>
      <c r="G324" s="42">
        <f>IF(I323&lt;'System Assumptions'!$E$29,0,-(MIN('Hydrological Data Model'!$E$34,'Hydrological Data Model'!$E$33-'System Assumptions'!$E$12))/12)</f>
        <v>-125252183.52495177</v>
      </c>
      <c r="H324" s="42">
        <f t="shared" si="59"/>
        <v>13549607334.625124</v>
      </c>
      <c r="I324" s="106">
        <f>H324/'System Assumptions'!$F$15</f>
        <v>15.252270619126433</v>
      </c>
      <c r="J324" s="42">
        <f>'System Assumptions'!$E$30+'System Assumptions'!$E$28-'Data Model Calculations'!I324</f>
        <v>64.501329380873571</v>
      </c>
      <c r="K324" s="45">
        <f t="shared" ref="K324:K362" si="61">R323</f>
        <v>54.524808378184822</v>
      </c>
      <c r="L324" s="46">
        <f t="shared" si="56"/>
        <v>738789743520082.38</v>
      </c>
      <c r="M324" s="47">
        <f>D324/1000*('System Assumptions'!$F$20*1000000)</f>
        <v>276691425000.00018</v>
      </c>
      <c r="N324" s="48"/>
      <c r="O324" s="49">
        <f>(F324/1000)*('System Assumptions'!$F$21*1000000)</f>
        <v>6427291623373.3125</v>
      </c>
      <c r="P324" s="49">
        <f t="shared" si="60"/>
        <v>-6829351305647.2334</v>
      </c>
      <c r="Q324" s="48">
        <f t="shared" si="57"/>
        <v>738664375262808.5</v>
      </c>
      <c r="R324" s="53">
        <f t="shared" si="58"/>
        <v>54.51555584014605</v>
      </c>
      <c r="S324" s="52">
        <v>35</v>
      </c>
    </row>
    <row r="325" spans="1:19">
      <c r="A325" s="3">
        <f t="shared" si="54"/>
        <v>27</v>
      </c>
      <c r="B325" s="3">
        <f t="shared" si="48"/>
        <v>323</v>
      </c>
      <c r="C325" s="40">
        <f t="shared" si="55"/>
        <v>13549607334.625124</v>
      </c>
      <c r="D325" s="41">
        <f>'System Assumptions'!$E$11/12</f>
        <v>75242280</v>
      </c>
      <c r="E325" s="41">
        <f>-'System Assumptions'!$E$10/12</f>
        <v>-133627000</v>
      </c>
      <c r="F325" s="41">
        <f>IF(I324&lt;'System Assumptions'!$E$29,'Hydrological Data Model'!$E$33/12,'Hydrological Data Model'!$E$33/12)</f>
        <v>183636903.52495179</v>
      </c>
      <c r="G325" s="42">
        <f>IF(I324&lt;'System Assumptions'!$E$29,0,-(MIN('Hydrological Data Model'!$E$34,'Hydrological Data Model'!$E$33-'System Assumptions'!$E$12))/12)</f>
        <v>-125252183.52495177</v>
      </c>
      <c r="H325" s="42">
        <f t="shared" si="59"/>
        <v>13549607334.625124</v>
      </c>
      <c r="I325" s="106">
        <f>H325/'System Assumptions'!$F$15</f>
        <v>15.252270619126433</v>
      </c>
      <c r="J325" s="42">
        <f>'System Assumptions'!$E$30+'System Assumptions'!$E$28-'Data Model Calculations'!I325</f>
        <v>64.501329380873571</v>
      </c>
      <c r="K325" s="45">
        <f t="shared" si="61"/>
        <v>54.51555584014605</v>
      </c>
      <c r="L325" s="46">
        <f t="shared" si="56"/>
        <v>738664375262808.5</v>
      </c>
      <c r="M325" s="47">
        <f>D325/1000*('System Assumptions'!$F$20*1000000)</f>
        <v>276691425000.00018</v>
      </c>
      <c r="N325" s="48"/>
      <c r="O325" s="49">
        <f>(F325/1000)*('System Assumptions'!$F$21*1000000)</f>
        <v>6427291623373.3125</v>
      </c>
      <c r="P325" s="49">
        <f t="shared" si="60"/>
        <v>-6828192405054.7285</v>
      </c>
      <c r="Q325" s="48">
        <f t="shared" si="57"/>
        <v>738540165906127</v>
      </c>
      <c r="R325" s="53">
        <f t="shared" si="58"/>
        <v>54.506388832304864</v>
      </c>
      <c r="S325" s="52">
        <v>35</v>
      </c>
    </row>
    <row r="326" spans="1:19">
      <c r="A326" s="3">
        <f t="shared" si="54"/>
        <v>27</v>
      </c>
      <c r="B326" s="3">
        <f t="shared" si="48"/>
        <v>324</v>
      </c>
      <c r="C326" s="40">
        <f t="shared" si="55"/>
        <v>13549607334.625124</v>
      </c>
      <c r="D326" s="41">
        <f>'System Assumptions'!$E$11/12</f>
        <v>75242280</v>
      </c>
      <c r="E326" s="41">
        <f>-'System Assumptions'!$E$10/12</f>
        <v>-133627000</v>
      </c>
      <c r="F326" s="41">
        <f>IF(I325&lt;'System Assumptions'!$E$29,'Hydrological Data Model'!$E$33/12,'Hydrological Data Model'!$E$33/12)</f>
        <v>183636903.52495179</v>
      </c>
      <c r="G326" s="42">
        <f>IF(I325&lt;'System Assumptions'!$E$29,0,-(MIN('Hydrological Data Model'!$E$34,'Hydrological Data Model'!$E$33-'System Assumptions'!$E$12))/12)</f>
        <v>-125252183.52495177</v>
      </c>
      <c r="H326" s="42">
        <f t="shared" si="59"/>
        <v>13549607334.625124</v>
      </c>
      <c r="I326" s="106">
        <f>H326/'System Assumptions'!$F$15</f>
        <v>15.252270619126433</v>
      </c>
      <c r="J326" s="42">
        <f>'System Assumptions'!$E$30+'System Assumptions'!$E$28-'Data Model Calculations'!I326</f>
        <v>64.501329380873571</v>
      </c>
      <c r="K326" s="45">
        <f t="shared" si="61"/>
        <v>54.506388832304864</v>
      </c>
      <c r="L326" s="46">
        <f t="shared" si="56"/>
        <v>738540165906127</v>
      </c>
      <c r="M326" s="47">
        <f>D326/1000*('System Assumptions'!$F$20*1000000)</f>
        <v>276691425000.00018</v>
      </c>
      <c r="N326" s="48"/>
      <c r="O326" s="49">
        <f>(F326/1000)*('System Assumptions'!$F$21*1000000)</f>
        <v>6427291623373.3125</v>
      </c>
      <c r="P326" s="49">
        <f t="shared" si="60"/>
        <v>-6827044217306.2305</v>
      </c>
      <c r="Q326" s="48">
        <f t="shared" si="57"/>
        <v>738417104737194</v>
      </c>
      <c r="R326" s="53">
        <f t="shared" si="58"/>
        <v>54.497306564022558</v>
      </c>
      <c r="S326" s="52">
        <v>35</v>
      </c>
    </row>
    <row r="327" spans="1:19">
      <c r="A327" s="3">
        <f t="shared" si="54"/>
        <v>28</v>
      </c>
      <c r="B327" s="3">
        <f t="shared" si="48"/>
        <v>325</v>
      </c>
      <c r="C327" s="40">
        <f t="shared" si="55"/>
        <v>13549607334.625124</v>
      </c>
      <c r="D327" s="41">
        <f>'System Assumptions'!$E$11/12</f>
        <v>75242280</v>
      </c>
      <c r="E327" s="41">
        <f>-'System Assumptions'!$E$10/12</f>
        <v>-133627000</v>
      </c>
      <c r="F327" s="41">
        <f>IF(I326&lt;'System Assumptions'!$E$29,'Hydrological Data Model'!$E$33/12,'Hydrological Data Model'!$E$33/12)</f>
        <v>183636903.52495179</v>
      </c>
      <c r="G327" s="42">
        <f>IF(I326&lt;'System Assumptions'!$E$29,0,-(MIN('Hydrological Data Model'!$E$34,'Hydrological Data Model'!$E$33-'System Assumptions'!$E$12))/12)</f>
        <v>-125252183.52495177</v>
      </c>
      <c r="H327" s="42">
        <f t="shared" si="59"/>
        <v>13549607334.625124</v>
      </c>
      <c r="I327" s="106">
        <f>H327/'System Assumptions'!$F$15</f>
        <v>15.252270619126433</v>
      </c>
      <c r="J327" s="42">
        <f>'System Assumptions'!$E$30+'System Assumptions'!$E$28-'Data Model Calculations'!I327</f>
        <v>64.501329380873571</v>
      </c>
      <c r="K327" s="45">
        <f t="shared" si="61"/>
        <v>54.497306564022558</v>
      </c>
      <c r="L327" s="46">
        <f t="shared" si="56"/>
        <v>738417104737194</v>
      </c>
      <c r="M327" s="47">
        <f>D327/1000*('System Assumptions'!$F$20*1000000)</f>
        <v>276691425000.00018</v>
      </c>
      <c r="N327" s="48"/>
      <c r="O327" s="49">
        <f>(F327/1000)*('System Assumptions'!$F$21*1000000)</f>
        <v>6427291623373.3125</v>
      </c>
      <c r="P327" s="49">
        <f t="shared" si="60"/>
        <v>-6825906643372.5117</v>
      </c>
      <c r="Q327" s="48">
        <f t="shared" si="57"/>
        <v>738295181142194.75</v>
      </c>
      <c r="R327" s="53">
        <f t="shared" si="58"/>
        <v>54.488308251969066</v>
      </c>
      <c r="S327" s="52">
        <v>35</v>
      </c>
    </row>
    <row r="328" spans="1:19">
      <c r="A328" s="3">
        <f t="shared" si="54"/>
        <v>28</v>
      </c>
      <c r="B328" s="3">
        <f t="shared" si="48"/>
        <v>326</v>
      </c>
      <c r="C328" s="40">
        <f t="shared" si="55"/>
        <v>13549607334.625124</v>
      </c>
      <c r="D328" s="41">
        <f>'System Assumptions'!$E$11/12</f>
        <v>75242280</v>
      </c>
      <c r="E328" s="41">
        <f>-'System Assumptions'!$E$10/12</f>
        <v>-133627000</v>
      </c>
      <c r="F328" s="41">
        <f>IF(I327&lt;'System Assumptions'!$E$29,'Hydrological Data Model'!$E$33/12,'Hydrological Data Model'!$E$33/12)</f>
        <v>183636903.52495179</v>
      </c>
      <c r="G328" s="42">
        <f>IF(I327&lt;'System Assumptions'!$E$29,0,-(MIN('Hydrological Data Model'!$E$34,'Hydrological Data Model'!$E$33-'System Assumptions'!$E$12))/12)</f>
        <v>-125252183.52495177</v>
      </c>
      <c r="H328" s="42">
        <f t="shared" si="59"/>
        <v>13549607334.625124</v>
      </c>
      <c r="I328" s="106">
        <f>H328/'System Assumptions'!$F$15</f>
        <v>15.252270619126433</v>
      </c>
      <c r="J328" s="42">
        <f>'System Assumptions'!$E$30+'System Assumptions'!$E$28-'Data Model Calculations'!I328</f>
        <v>64.501329380873571</v>
      </c>
      <c r="K328" s="45">
        <f t="shared" si="61"/>
        <v>54.488308251969066</v>
      </c>
      <c r="L328" s="46">
        <f t="shared" si="56"/>
        <v>738295181142194.75</v>
      </c>
      <c r="M328" s="47">
        <f>D328/1000*('System Assumptions'!$F$20*1000000)</f>
        <v>276691425000.00018</v>
      </c>
      <c r="N328" s="48"/>
      <c r="O328" s="49">
        <f>(F328/1000)*('System Assumptions'!$F$21*1000000)</f>
        <v>6427291623373.3125</v>
      </c>
      <c r="P328" s="49">
        <f t="shared" si="60"/>
        <v>-6824779585139.7734</v>
      </c>
      <c r="Q328" s="48">
        <f t="shared" si="57"/>
        <v>738174384605428.25</v>
      </c>
      <c r="R328" s="53">
        <f t="shared" si="58"/>
        <v>54.479393120055406</v>
      </c>
      <c r="S328" s="52">
        <v>35</v>
      </c>
    </row>
    <row r="329" spans="1:19">
      <c r="A329" s="3">
        <f t="shared" si="54"/>
        <v>28</v>
      </c>
      <c r="B329" s="3">
        <f t="shared" si="48"/>
        <v>327</v>
      </c>
      <c r="C329" s="40">
        <f t="shared" si="55"/>
        <v>13549607334.625124</v>
      </c>
      <c r="D329" s="41">
        <f>'System Assumptions'!$E$11/12</f>
        <v>75242280</v>
      </c>
      <c r="E329" s="41">
        <f>-'System Assumptions'!$E$10/12</f>
        <v>-133627000</v>
      </c>
      <c r="F329" s="41">
        <f>IF(I328&lt;'System Assumptions'!$E$29,'Hydrological Data Model'!$E$33/12,'Hydrological Data Model'!$E$33/12)</f>
        <v>183636903.52495179</v>
      </c>
      <c r="G329" s="42">
        <f>IF(I328&lt;'System Assumptions'!$E$29,0,-(MIN('Hydrological Data Model'!$E$34,'Hydrological Data Model'!$E$33-'System Assumptions'!$E$12))/12)</f>
        <v>-125252183.52495177</v>
      </c>
      <c r="H329" s="42">
        <f t="shared" si="59"/>
        <v>13549607334.625124</v>
      </c>
      <c r="I329" s="106">
        <f>H329/'System Assumptions'!$F$15</f>
        <v>15.252270619126433</v>
      </c>
      <c r="J329" s="42">
        <f>'System Assumptions'!$E$30+'System Assumptions'!$E$28-'Data Model Calculations'!I329</f>
        <v>64.501329380873571</v>
      </c>
      <c r="K329" s="45">
        <f t="shared" si="61"/>
        <v>54.479393120055406</v>
      </c>
      <c r="L329" s="46">
        <f t="shared" si="56"/>
        <v>738174384605428.25</v>
      </c>
      <c r="M329" s="47">
        <f>D329/1000*('System Assumptions'!$F$20*1000000)</f>
        <v>276691425000.00018</v>
      </c>
      <c r="N329" s="48"/>
      <c r="O329" s="49">
        <f>(F329/1000)*('System Assumptions'!$F$21*1000000)</f>
        <v>6427291623373.3125</v>
      </c>
      <c r="P329" s="49">
        <f t="shared" si="60"/>
        <v>-6823662945401.1738</v>
      </c>
      <c r="Q329" s="48">
        <f t="shared" si="57"/>
        <v>738054704708400.38</v>
      </c>
      <c r="R329" s="53">
        <f t="shared" si="58"/>
        <v>54.47056039936674</v>
      </c>
      <c r="S329" s="52">
        <v>35</v>
      </c>
    </row>
    <row r="330" spans="1:19">
      <c r="A330" s="3">
        <f t="shared" si="54"/>
        <v>28</v>
      </c>
      <c r="B330" s="3">
        <f t="shared" si="48"/>
        <v>328</v>
      </c>
      <c r="C330" s="40">
        <f t="shared" si="55"/>
        <v>13549607334.625124</v>
      </c>
      <c r="D330" s="41">
        <f>'System Assumptions'!$E$11/12</f>
        <v>75242280</v>
      </c>
      <c r="E330" s="41">
        <f>-'System Assumptions'!$E$10/12</f>
        <v>-133627000</v>
      </c>
      <c r="F330" s="41">
        <f>IF(I329&lt;'System Assumptions'!$E$29,'Hydrological Data Model'!$E$33/12,'Hydrological Data Model'!$E$33/12)</f>
        <v>183636903.52495179</v>
      </c>
      <c r="G330" s="42">
        <f>IF(I329&lt;'System Assumptions'!$E$29,0,-(MIN('Hydrological Data Model'!$E$34,'Hydrological Data Model'!$E$33-'System Assumptions'!$E$12))/12)</f>
        <v>-125252183.52495177</v>
      </c>
      <c r="H330" s="42">
        <f t="shared" si="59"/>
        <v>13549607334.625124</v>
      </c>
      <c r="I330" s="106">
        <f>H330/'System Assumptions'!$F$15</f>
        <v>15.252270619126433</v>
      </c>
      <c r="J330" s="42">
        <f>'System Assumptions'!$E$30+'System Assumptions'!$E$28-'Data Model Calculations'!I330</f>
        <v>64.501329380873571</v>
      </c>
      <c r="K330" s="45">
        <f t="shared" si="61"/>
        <v>54.47056039936674</v>
      </c>
      <c r="L330" s="46">
        <f t="shared" si="56"/>
        <v>738054704708400.38</v>
      </c>
      <c r="M330" s="47">
        <f>D330/1000*('System Assumptions'!$F$20*1000000)</f>
        <v>276691425000.00018</v>
      </c>
      <c r="N330" s="48"/>
      <c r="O330" s="49">
        <f>(F330/1000)*('System Assumptions'!$F$21*1000000)</f>
        <v>6427291623373.3125</v>
      </c>
      <c r="P330" s="49">
        <f t="shared" si="60"/>
        <v>-6822556627848.4531</v>
      </c>
      <c r="Q330" s="48">
        <f t="shared" si="57"/>
        <v>737936131128925.25</v>
      </c>
      <c r="R330" s="53">
        <f t="shared" si="58"/>
        <v>54.461809328096052</v>
      </c>
      <c r="S330" s="52">
        <v>35</v>
      </c>
    </row>
    <row r="331" spans="1:19">
      <c r="A331" s="3">
        <f t="shared" si="54"/>
        <v>28</v>
      </c>
      <c r="B331" s="3">
        <f t="shared" si="48"/>
        <v>329</v>
      </c>
      <c r="C331" s="40">
        <f t="shared" si="55"/>
        <v>13549607334.625124</v>
      </c>
      <c r="D331" s="41">
        <f>'System Assumptions'!$E$11/12</f>
        <v>75242280</v>
      </c>
      <c r="E331" s="41">
        <f>-'System Assumptions'!$E$10/12</f>
        <v>-133627000</v>
      </c>
      <c r="F331" s="41">
        <f>IF(I330&lt;'System Assumptions'!$E$29,'Hydrological Data Model'!$E$33/12,'Hydrological Data Model'!$E$33/12)</f>
        <v>183636903.52495179</v>
      </c>
      <c r="G331" s="42">
        <f>IF(I330&lt;'System Assumptions'!$E$29,0,-(MIN('Hydrological Data Model'!$E$34,'Hydrological Data Model'!$E$33-'System Assumptions'!$E$12))/12)</f>
        <v>-125252183.52495177</v>
      </c>
      <c r="H331" s="42">
        <f t="shared" si="59"/>
        <v>13549607334.625124</v>
      </c>
      <c r="I331" s="106">
        <f>H331/'System Assumptions'!$F$15</f>
        <v>15.252270619126433</v>
      </c>
      <c r="J331" s="42">
        <f>'System Assumptions'!$E$30+'System Assumptions'!$E$28-'Data Model Calculations'!I331</f>
        <v>64.501329380873571</v>
      </c>
      <c r="K331" s="45">
        <f t="shared" si="61"/>
        <v>54.461809328096052</v>
      </c>
      <c r="L331" s="46">
        <f t="shared" si="56"/>
        <v>737936131128925.25</v>
      </c>
      <c r="M331" s="47">
        <f>D331/1000*('System Assumptions'!$F$20*1000000)</f>
        <v>276691425000.00018</v>
      </c>
      <c r="N331" s="48"/>
      <c r="O331" s="49">
        <f>(F331/1000)*('System Assumptions'!$F$21*1000000)</f>
        <v>6427291623373.3125</v>
      </c>
      <c r="P331" s="49">
        <f t="shared" si="60"/>
        <v>-6821460537063.6172</v>
      </c>
      <c r="Q331" s="48">
        <f t="shared" si="57"/>
        <v>737818653640234.88</v>
      </c>
      <c r="R331" s="53">
        <f t="shared" si="58"/>
        <v>54.453139151478446</v>
      </c>
      <c r="S331" s="52">
        <v>35</v>
      </c>
    </row>
    <row r="332" spans="1:19">
      <c r="A332" s="3">
        <f t="shared" si="54"/>
        <v>28</v>
      </c>
      <c r="B332" s="3">
        <f t="shared" si="48"/>
        <v>330</v>
      </c>
      <c r="C332" s="40">
        <f t="shared" si="55"/>
        <v>13549607334.625124</v>
      </c>
      <c r="D332" s="41">
        <f>'System Assumptions'!$E$11/12</f>
        <v>75242280</v>
      </c>
      <c r="E332" s="41">
        <f>-'System Assumptions'!$E$10/12</f>
        <v>-133627000</v>
      </c>
      <c r="F332" s="41">
        <f>IF(I331&lt;'System Assumptions'!$E$29,'Hydrological Data Model'!$E$33/12,'Hydrological Data Model'!$E$33/12)</f>
        <v>183636903.52495179</v>
      </c>
      <c r="G332" s="42">
        <f>IF(I331&lt;'System Assumptions'!$E$29,0,-(MIN('Hydrological Data Model'!$E$34,'Hydrological Data Model'!$E$33-'System Assumptions'!$E$12))/12)</f>
        <v>-125252183.52495177</v>
      </c>
      <c r="H332" s="42">
        <f t="shared" si="59"/>
        <v>13549607334.625124</v>
      </c>
      <c r="I332" s="106">
        <f>H332/'System Assumptions'!$F$15</f>
        <v>15.252270619126433</v>
      </c>
      <c r="J332" s="42">
        <f>'System Assumptions'!$E$30+'System Assumptions'!$E$28-'Data Model Calculations'!I332</f>
        <v>64.501329380873571</v>
      </c>
      <c r="K332" s="45">
        <f t="shared" si="61"/>
        <v>54.453139151478446</v>
      </c>
      <c r="L332" s="46">
        <f t="shared" si="56"/>
        <v>737818653640234.88</v>
      </c>
      <c r="M332" s="47">
        <f>D332/1000*('System Assumptions'!$F$20*1000000)</f>
        <v>276691425000.00018</v>
      </c>
      <c r="N332" s="48"/>
      <c r="O332" s="49">
        <f>(F332/1000)*('System Assumptions'!$F$21*1000000)</f>
        <v>6427291623373.3125</v>
      </c>
      <c r="P332" s="49">
        <f t="shared" si="60"/>
        <v>-6820374578510.7148</v>
      </c>
      <c r="Q332" s="48">
        <f t="shared" si="57"/>
        <v>737702262110097.5</v>
      </c>
      <c r="R332" s="53">
        <f t="shared" si="58"/>
        <v>54.444549121726077</v>
      </c>
      <c r="S332" s="52">
        <v>35</v>
      </c>
    </row>
    <row r="333" spans="1:19">
      <c r="A333" s="3">
        <f t="shared" si="54"/>
        <v>28</v>
      </c>
      <c r="B333" s="3">
        <f t="shared" si="48"/>
        <v>331</v>
      </c>
      <c r="C333" s="40">
        <f t="shared" si="55"/>
        <v>13549607334.625124</v>
      </c>
      <c r="D333" s="41">
        <f>'System Assumptions'!$E$11/12</f>
        <v>75242280</v>
      </c>
      <c r="E333" s="41">
        <f>-'System Assumptions'!$E$10/12</f>
        <v>-133627000</v>
      </c>
      <c r="F333" s="41">
        <f>IF(I332&lt;'System Assumptions'!$E$29,'Hydrological Data Model'!$E$33/12,'Hydrological Data Model'!$E$33/12)</f>
        <v>183636903.52495179</v>
      </c>
      <c r="G333" s="42">
        <f>IF(I332&lt;'System Assumptions'!$E$29,0,-(MIN('Hydrological Data Model'!$E$34,'Hydrological Data Model'!$E$33-'System Assumptions'!$E$12))/12)</f>
        <v>-125252183.52495177</v>
      </c>
      <c r="H333" s="42">
        <f t="shared" si="59"/>
        <v>13549607334.625124</v>
      </c>
      <c r="I333" s="106">
        <f>H333/'System Assumptions'!$F$15</f>
        <v>15.252270619126433</v>
      </c>
      <c r="J333" s="42">
        <f>'System Assumptions'!$E$30+'System Assumptions'!$E$28-'Data Model Calculations'!I333</f>
        <v>64.501329380873571</v>
      </c>
      <c r="K333" s="45">
        <f t="shared" si="61"/>
        <v>54.444549121726077</v>
      </c>
      <c r="L333" s="46">
        <f t="shared" si="56"/>
        <v>737702262110097.5</v>
      </c>
      <c r="M333" s="47">
        <f>D333/1000*('System Assumptions'!$F$20*1000000)</f>
        <v>276691425000.00018</v>
      </c>
      <c r="N333" s="48"/>
      <c r="O333" s="49">
        <f>(F333/1000)*('System Assumptions'!$F$21*1000000)</f>
        <v>6427291623373.3125</v>
      </c>
      <c r="P333" s="49">
        <f t="shared" si="60"/>
        <v>-6819298658527.6855</v>
      </c>
      <c r="Q333" s="48">
        <f t="shared" si="57"/>
        <v>737586946499943.13</v>
      </c>
      <c r="R333" s="53">
        <f t="shared" si="58"/>
        <v>54.436038497963594</v>
      </c>
      <c r="S333" s="52">
        <v>35</v>
      </c>
    </row>
    <row r="334" spans="1:19">
      <c r="A334" s="3">
        <f t="shared" si="54"/>
        <v>28</v>
      </c>
      <c r="B334" s="3">
        <f t="shared" si="48"/>
        <v>332</v>
      </c>
      <c r="C334" s="40">
        <f t="shared" si="55"/>
        <v>13549607334.625124</v>
      </c>
      <c r="D334" s="41">
        <f>'System Assumptions'!$E$11/12</f>
        <v>75242280</v>
      </c>
      <c r="E334" s="41">
        <f>-'System Assumptions'!$E$10/12</f>
        <v>-133627000</v>
      </c>
      <c r="F334" s="41">
        <f>IF(I333&lt;'System Assumptions'!$E$29,'Hydrological Data Model'!$E$33/12,'Hydrological Data Model'!$E$33/12)</f>
        <v>183636903.52495179</v>
      </c>
      <c r="G334" s="42">
        <f>IF(I333&lt;'System Assumptions'!$E$29,0,-(MIN('Hydrological Data Model'!$E$34,'Hydrological Data Model'!$E$33-'System Assumptions'!$E$12))/12)</f>
        <v>-125252183.52495177</v>
      </c>
      <c r="H334" s="42">
        <f t="shared" si="59"/>
        <v>13549607334.625124</v>
      </c>
      <c r="I334" s="106">
        <f>H334/'System Assumptions'!$F$15</f>
        <v>15.252270619126433</v>
      </c>
      <c r="J334" s="42">
        <f>'System Assumptions'!$E$30+'System Assumptions'!$E$28-'Data Model Calculations'!I334</f>
        <v>64.501329380873571</v>
      </c>
      <c r="K334" s="45">
        <f t="shared" si="61"/>
        <v>54.436038497963594</v>
      </c>
      <c r="L334" s="46">
        <f t="shared" si="56"/>
        <v>737586946499943.13</v>
      </c>
      <c r="M334" s="47">
        <f>D334/1000*('System Assumptions'!$F$20*1000000)</f>
        <v>276691425000.00018</v>
      </c>
      <c r="N334" s="48"/>
      <c r="O334" s="49">
        <f>(F334/1000)*('System Assumptions'!$F$21*1000000)</f>
        <v>6427291623373.3125</v>
      </c>
      <c r="P334" s="49">
        <f t="shared" si="60"/>
        <v>-6818232684318.2764</v>
      </c>
      <c r="Q334" s="48">
        <f t="shared" si="57"/>
        <v>737472696863998.25</v>
      </c>
      <c r="R334" s="53">
        <f t="shared" si="58"/>
        <v>54.427606546164299</v>
      </c>
      <c r="S334" s="52">
        <v>35</v>
      </c>
    </row>
    <row r="335" spans="1:19">
      <c r="A335" s="3">
        <f t="shared" si="54"/>
        <v>28</v>
      </c>
      <c r="B335" s="3">
        <f t="shared" si="48"/>
        <v>333</v>
      </c>
      <c r="C335" s="40">
        <f t="shared" si="55"/>
        <v>13549607334.625124</v>
      </c>
      <c r="D335" s="41">
        <f>'System Assumptions'!$E$11/12</f>
        <v>75242280</v>
      </c>
      <c r="E335" s="41">
        <f>-'System Assumptions'!$E$10/12</f>
        <v>-133627000</v>
      </c>
      <c r="F335" s="41">
        <f>IF(I334&lt;'System Assumptions'!$E$29,'Hydrological Data Model'!$E$33/12,'Hydrological Data Model'!$E$33/12)</f>
        <v>183636903.52495179</v>
      </c>
      <c r="G335" s="42">
        <f>IF(I334&lt;'System Assumptions'!$E$29,0,-(MIN('Hydrological Data Model'!$E$34,'Hydrological Data Model'!$E$33-'System Assumptions'!$E$12))/12)</f>
        <v>-125252183.52495177</v>
      </c>
      <c r="H335" s="42">
        <f t="shared" si="59"/>
        <v>13549607334.625124</v>
      </c>
      <c r="I335" s="106">
        <f>H335/'System Assumptions'!$F$15</f>
        <v>15.252270619126433</v>
      </c>
      <c r="J335" s="42">
        <f>'System Assumptions'!$E$30+'System Assumptions'!$E$28-'Data Model Calculations'!I335</f>
        <v>64.501329380873571</v>
      </c>
      <c r="K335" s="45">
        <f t="shared" si="61"/>
        <v>54.427606546164299</v>
      </c>
      <c r="L335" s="46">
        <f t="shared" si="56"/>
        <v>737472696863998.25</v>
      </c>
      <c r="M335" s="47">
        <f>D335/1000*('System Assumptions'!$F$20*1000000)</f>
        <v>276691425000.00018</v>
      </c>
      <c r="N335" s="48"/>
      <c r="O335" s="49">
        <f>(F335/1000)*('System Assumptions'!$F$21*1000000)</f>
        <v>6427291623373.3125</v>
      </c>
      <c r="P335" s="49">
        <f t="shared" si="60"/>
        <v>-6817176563944.0371</v>
      </c>
      <c r="Q335" s="48">
        <f t="shared" si="57"/>
        <v>737359503348427.5</v>
      </c>
      <c r="R335" s="53">
        <f t="shared" si="58"/>
        <v>54.419252539086806</v>
      </c>
      <c r="S335" s="52">
        <v>35</v>
      </c>
    </row>
    <row r="336" spans="1:19">
      <c r="A336" s="3">
        <f t="shared" ref="A336:A362" si="62">IF(MOD(B336,12)=1,A335+1,A335)</f>
        <v>28</v>
      </c>
      <c r="B336" s="3">
        <f t="shared" ref="B336:B399" si="63">B335+1</f>
        <v>334</v>
      </c>
      <c r="C336" s="40">
        <f t="shared" ref="C336:C362" si="64">H335</f>
        <v>13549607334.625124</v>
      </c>
      <c r="D336" s="41">
        <f>'System Assumptions'!$E$11/12</f>
        <v>75242280</v>
      </c>
      <c r="E336" s="41">
        <f>-'System Assumptions'!$E$10/12</f>
        <v>-133627000</v>
      </c>
      <c r="F336" s="41">
        <f>IF(I335&lt;'System Assumptions'!$E$29,'Hydrological Data Model'!$E$33/12,'Hydrological Data Model'!$E$33/12)</f>
        <v>183636903.52495179</v>
      </c>
      <c r="G336" s="42">
        <f>IF(I335&lt;'System Assumptions'!$E$29,0,-(MIN('Hydrological Data Model'!$E$34,'Hydrological Data Model'!$E$33-'System Assumptions'!$E$12))/12)</f>
        <v>-125252183.52495177</v>
      </c>
      <c r="H336" s="42">
        <f t="shared" si="59"/>
        <v>13549607334.625124</v>
      </c>
      <c r="I336" s="106">
        <f>H336/'System Assumptions'!$F$15</f>
        <v>15.252270619126433</v>
      </c>
      <c r="J336" s="42">
        <f>'System Assumptions'!$E$30+'System Assumptions'!$E$28-'Data Model Calculations'!I336</f>
        <v>64.501329380873571</v>
      </c>
      <c r="K336" s="45">
        <f t="shared" si="61"/>
        <v>54.419252539086806</v>
      </c>
      <c r="L336" s="46">
        <f t="shared" ref="L336:L362" si="65">Q335</f>
        <v>737359503348427.5</v>
      </c>
      <c r="M336" s="47">
        <f>D336/1000*('System Assumptions'!$F$20*1000000)</f>
        <v>276691425000.00018</v>
      </c>
      <c r="N336" s="48"/>
      <c r="O336" s="49">
        <f>(F336/1000)*('System Assumptions'!$F$21*1000000)</f>
        <v>6427291623373.3125</v>
      </c>
      <c r="P336" s="49">
        <f t="shared" si="60"/>
        <v>-6816130206316.3984</v>
      </c>
      <c r="Q336" s="48">
        <f t="shared" ref="Q336:Q362" si="66">SUM(L336:P336)</f>
        <v>737247356190484.38</v>
      </c>
      <c r="R336" s="53">
        <f t="shared" ref="R336:R362" si="67">(Q336*1000)/(H336*1000000)</f>
        <v>54.410975756212331</v>
      </c>
      <c r="S336" s="52">
        <v>35</v>
      </c>
    </row>
    <row r="337" spans="1:19">
      <c r="A337" s="3">
        <f t="shared" si="62"/>
        <v>28</v>
      </c>
      <c r="B337" s="3">
        <f t="shared" si="63"/>
        <v>335</v>
      </c>
      <c r="C337" s="40">
        <f t="shared" si="64"/>
        <v>13549607334.625124</v>
      </c>
      <c r="D337" s="41">
        <f>'System Assumptions'!$E$11/12</f>
        <v>75242280</v>
      </c>
      <c r="E337" s="41">
        <f>-'System Assumptions'!$E$10/12</f>
        <v>-133627000</v>
      </c>
      <c r="F337" s="41">
        <f>IF(I336&lt;'System Assumptions'!$E$29,'Hydrological Data Model'!$E$33/12,'Hydrological Data Model'!$E$33/12)</f>
        <v>183636903.52495179</v>
      </c>
      <c r="G337" s="42">
        <f>IF(I336&lt;'System Assumptions'!$E$29,0,-(MIN('Hydrological Data Model'!$E$34,'Hydrological Data Model'!$E$33-'System Assumptions'!$E$12))/12)</f>
        <v>-125252183.52495177</v>
      </c>
      <c r="H337" s="42">
        <f t="shared" si="59"/>
        <v>13549607334.625124</v>
      </c>
      <c r="I337" s="106">
        <f>H337/'System Assumptions'!$F$15</f>
        <v>15.252270619126433</v>
      </c>
      <c r="J337" s="42">
        <f>'System Assumptions'!$E$30+'System Assumptions'!$E$28-'Data Model Calculations'!I337</f>
        <v>64.501329380873571</v>
      </c>
      <c r="K337" s="45">
        <f t="shared" si="61"/>
        <v>54.410975756212331</v>
      </c>
      <c r="L337" s="46">
        <f t="shared" si="65"/>
        <v>737247356190484.38</v>
      </c>
      <c r="M337" s="47">
        <f>D337/1000*('System Assumptions'!$F$20*1000000)</f>
        <v>276691425000.00018</v>
      </c>
      <c r="N337" s="48"/>
      <c r="O337" s="49">
        <f>(F337/1000)*('System Assumptions'!$F$21*1000000)</f>
        <v>6427291623373.3125</v>
      </c>
      <c r="P337" s="49">
        <f t="shared" si="60"/>
        <v>-6815093521188.8076</v>
      </c>
      <c r="Q337" s="48">
        <f t="shared" si="66"/>
        <v>737136245717669</v>
      </c>
      <c r="R337" s="53">
        <f t="shared" si="67"/>
        <v>54.402775483682554</v>
      </c>
      <c r="S337" s="52">
        <v>35</v>
      </c>
    </row>
    <row r="338" spans="1:19">
      <c r="A338" s="3">
        <f t="shared" si="62"/>
        <v>28</v>
      </c>
      <c r="B338" s="3">
        <f t="shared" si="63"/>
        <v>336</v>
      </c>
      <c r="C338" s="40">
        <f t="shared" si="64"/>
        <v>13549607334.625124</v>
      </c>
      <c r="D338" s="41">
        <f>'System Assumptions'!$E$11/12</f>
        <v>75242280</v>
      </c>
      <c r="E338" s="41">
        <f>-'System Assumptions'!$E$10/12</f>
        <v>-133627000</v>
      </c>
      <c r="F338" s="41">
        <f>IF(I337&lt;'System Assumptions'!$E$29,'Hydrological Data Model'!$E$33/12,'Hydrological Data Model'!$E$33/12)</f>
        <v>183636903.52495179</v>
      </c>
      <c r="G338" s="42">
        <f>IF(I337&lt;'System Assumptions'!$E$29,0,-(MIN('Hydrological Data Model'!$E$34,'Hydrological Data Model'!$E$33-'System Assumptions'!$E$12))/12)</f>
        <v>-125252183.52495177</v>
      </c>
      <c r="H338" s="42">
        <f t="shared" si="59"/>
        <v>13549607334.625124</v>
      </c>
      <c r="I338" s="106">
        <f>H338/'System Assumptions'!$F$15</f>
        <v>15.252270619126433</v>
      </c>
      <c r="J338" s="42">
        <f>'System Assumptions'!$E$30+'System Assumptions'!$E$28-'Data Model Calculations'!I338</f>
        <v>64.501329380873571</v>
      </c>
      <c r="K338" s="45">
        <f t="shared" si="61"/>
        <v>54.402775483682554</v>
      </c>
      <c r="L338" s="46">
        <f t="shared" si="65"/>
        <v>737136245717669</v>
      </c>
      <c r="M338" s="47">
        <f>D338/1000*('System Assumptions'!$F$20*1000000)</f>
        <v>276691425000.00018</v>
      </c>
      <c r="N338" s="48"/>
      <c r="O338" s="49">
        <f>(F338/1000)*('System Assumptions'!$F$21*1000000)</f>
        <v>6427291623373.3125</v>
      </c>
      <c r="P338" s="49">
        <f t="shared" si="60"/>
        <v>-6814066419148.9541</v>
      </c>
      <c r="Q338" s="48">
        <f t="shared" si="66"/>
        <v>737026162346893.25</v>
      </c>
      <c r="R338" s="53">
        <f t="shared" si="67"/>
        <v>54.394651014238015</v>
      </c>
      <c r="S338" s="52">
        <v>35</v>
      </c>
    </row>
    <row r="339" spans="1:19">
      <c r="A339" s="3">
        <f t="shared" si="62"/>
        <v>29</v>
      </c>
      <c r="B339" s="3">
        <f t="shared" si="63"/>
        <v>337</v>
      </c>
      <c r="C339" s="40">
        <f t="shared" si="64"/>
        <v>13549607334.625124</v>
      </c>
      <c r="D339" s="41">
        <f>'System Assumptions'!$E$11/12</f>
        <v>75242280</v>
      </c>
      <c r="E339" s="41">
        <f>-'System Assumptions'!$E$10/12</f>
        <v>-133627000</v>
      </c>
      <c r="F339" s="41">
        <f>IF(I338&lt;'System Assumptions'!$E$29,'Hydrological Data Model'!$E$33/12,'Hydrological Data Model'!$E$33/12)</f>
        <v>183636903.52495179</v>
      </c>
      <c r="G339" s="42">
        <f>IF(I338&lt;'System Assumptions'!$E$29,0,-(MIN('Hydrological Data Model'!$E$34,'Hydrological Data Model'!$E$33-'System Assumptions'!$E$12))/12)</f>
        <v>-125252183.52495177</v>
      </c>
      <c r="H339" s="42">
        <f t="shared" si="59"/>
        <v>13549607334.625124</v>
      </c>
      <c r="I339" s="106">
        <f>H339/'System Assumptions'!$F$15</f>
        <v>15.252270619126433</v>
      </c>
      <c r="J339" s="42">
        <f>'System Assumptions'!$E$30+'System Assumptions'!$E$28-'Data Model Calculations'!I339</f>
        <v>64.501329380873571</v>
      </c>
      <c r="K339" s="45">
        <f t="shared" si="61"/>
        <v>54.394651014238015</v>
      </c>
      <c r="L339" s="46">
        <f t="shared" si="65"/>
        <v>737026162346893.25</v>
      </c>
      <c r="M339" s="47">
        <f>D339/1000*('System Assumptions'!$F$20*1000000)</f>
        <v>276691425000.00018</v>
      </c>
      <c r="N339" s="48"/>
      <c r="O339" s="49">
        <f>(F339/1000)*('System Assumptions'!$F$21*1000000)</f>
        <v>6427291623373.3125</v>
      </c>
      <c r="P339" s="49">
        <f t="shared" si="60"/>
        <v>-6813048811611.0439</v>
      </c>
      <c r="Q339" s="48">
        <f t="shared" si="66"/>
        <v>736917096583655.5</v>
      </c>
      <c r="R339" s="53">
        <f t="shared" si="67"/>
        <v>54.386601647157164</v>
      </c>
      <c r="S339" s="52">
        <v>35</v>
      </c>
    </row>
    <row r="340" spans="1:19">
      <c r="A340" s="3">
        <f t="shared" si="62"/>
        <v>29</v>
      </c>
      <c r="B340" s="3">
        <f t="shared" si="63"/>
        <v>338</v>
      </c>
      <c r="C340" s="40">
        <f t="shared" si="64"/>
        <v>13549607334.625124</v>
      </c>
      <c r="D340" s="41">
        <f>'System Assumptions'!$E$11/12</f>
        <v>75242280</v>
      </c>
      <c r="E340" s="41">
        <f>-'System Assumptions'!$E$10/12</f>
        <v>-133627000</v>
      </c>
      <c r="F340" s="41">
        <f>IF(I339&lt;'System Assumptions'!$E$29,'Hydrological Data Model'!$E$33/12,'Hydrological Data Model'!$E$33/12)</f>
        <v>183636903.52495179</v>
      </c>
      <c r="G340" s="42">
        <f>IF(I339&lt;'System Assumptions'!$E$29,0,-(MIN('Hydrological Data Model'!$E$34,'Hydrological Data Model'!$E$33-'System Assumptions'!$E$12))/12)</f>
        <v>-125252183.52495177</v>
      </c>
      <c r="H340" s="42">
        <f t="shared" si="59"/>
        <v>13549607334.625124</v>
      </c>
      <c r="I340" s="106">
        <f>H340/'System Assumptions'!$F$15</f>
        <v>15.252270619126433</v>
      </c>
      <c r="J340" s="42">
        <f>'System Assumptions'!$E$30+'System Assumptions'!$E$28-'Data Model Calculations'!I340</f>
        <v>64.501329380873571</v>
      </c>
      <c r="K340" s="45">
        <f t="shared" si="61"/>
        <v>54.386601647157164</v>
      </c>
      <c r="L340" s="46">
        <f t="shared" si="65"/>
        <v>736917096583655.5</v>
      </c>
      <c r="M340" s="47">
        <f>D340/1000*('System Assumptions'!$F$20*1000000)</f>
        <v>276691425000.00018</v>
      </c>
      <c r="N340" s="48"/>
      <c r="O340" s="49">
        <f>(F340/1000)*('System Assumptions'!$F$21*1000000)</f>
        <v>6427291623373.3125</v>
      </c>
      <c r="P340" s="49">
        <f t="shared" si="60"/>
        <v>-6812040610808.1729</v>
      </c>
      <c r="Q340" s="48">
        <f t="shared" si="66"/>
        <v>736809039021220.63</v>
      </c>
      <c r="R340" s="53">
        <f t="shared" si="67"/>
        <v>54.378626688195894</v>
      </c>
      <c r="S340" s="52">
        <v>35</v>
      </c>
    </row>
    <row r="341" spans="1:19">
      <c r="A341" s="3">
        <f t="shared" si="62"/>
        <v>29</v>
      </c>
      <c r="B341" s="3">
        <f t="shared" si="63"/>
        <v>339</v>
      </c>
      <c r="C341" s="40">
        <f t="shared" si="64"/>
        <v>13549607334.625124</v>
      </c>
      <c r="D341" s="41">
        <f>'System Assumptions'!$E$11/12</f>
        <v>75242280</v>
      </c>
      <c r="E341" s="41">
        <f>-'System Assumptions'!$E$10/12</f>
        <v>-133627000</v>
      </c>
      <c r="F341" s="41">
        <f>IF(I340&lt;'System Assumptions'!$E$29,'Hydrological Data Model'!$E$33/12,'Hydrological Data Model'!$E$33/12)</f>
        <v>183636903.52495179</v>
      </c>
      <c r="G341" s="42">
        <f>IF(I340&lt;'System Assumptions'!$E$29,0,-(MIN('Hydrological Data Model'!$E$34,'Hydrological Data Model'!$E$33-'System Assumptions'!$E$12))/12)</f>
        <v>-125252183.52495177</v>
      </c>
      <c r="H341" s="42">
        <f t="shared" si="59"/>
        <v>13549607334.625124</v>
      </c>
      <c r="I341" s="106">
        <f>H341/'System Assumptions'!$F$15</f>
        <v>15.252270619126433</v>
      </c>
      <c r="J341" s="42">
        <f>'System Assumptions'!$E$30+'System Assumptions'!$E$28-'Data Model Calculations'!I341</f>
        <v>64.501329380873571</v>
      </c>
      <c r="K341" s="45">
        <f t="shared" si="61"/>
        <v>54.378626688195894</v>
      </c>
      <c r="L341" s="46">
        <f t="shared" si="65"/>
        <v>736809039021220.63</v>
      </c>
      <c r="M341" s="47">
        <f>D341/1000*('System Assumptions'!$F$20*1000000)</f>
        <v>276691425000.00018</v>
      </c>
      <c r="N341" s="48"/>
      <c r="O341" s="49">
        <f>(F341/1000)*('System Assumptions'!$F$21*1000000)</f>
        <v>6427291623373.3125</v>
      </c>
      <c r="P341" s="49">
        <f t="shared" si="60"/>
        <v>-6811041729784.752</v>
      </c>
      <c r="Q341" s="48">
        <f t="shared" si="66"/>
        <v>736701980339809.25</v>
      </c>
      <c r="R341" s="53">
        <f t="shared" si="67"/>
        <v>54.37072544952769</v>
      </c>
      <c r="S341" s="52">
        <v>35</v>
      </c>
    </row>
    <row r="342" spans="1:19">
      <c r="A342" s="3">
        <f t="shared" si="62"/>
        <v>29</v>
      </c>
      <c r="B342" s="3">
        <f t="shared" si="63"/>
        <v>340</v>
      </c>
      <c r="C342" s="40">
        <f t="shared" si="64"/>
        <v>13549607334.625124</v>
      </c>
      <c r="D342" s="41">
        <f>'System Assumptions'!$E$11/12</f>
        <v>75242280</v>
      </c>
      <c r="E342" s="41">
        <f>-'System Assumptions'!$E$10/12</f>
        <v>-133627000</v>
      </c>
      <c r="F342" s="41">
        <f>IF(I341&lt;'System Assumptions'!$E$29,'Hydrological Data Model'!$E$33/12,'Hydrological Data Model'!$E$33/12)</f>
        <v>183636903.52495179</v>
      </c>
      <c r="G342" s="42">
        <f>IF(I341&lt;'System Assumptions'!$E$29,0,-(MIN('Hydrological Data Model'!$E$34,'Hydrological Data Model'!$E$33-'System Assumptions'!$E$12))/12)</f>
        <v>-125252183.52495177</v>
      </c>
      <c r="H342" s="42">
        <f t="shared" si="59"/>
        <v>13549607334.625124</v>
      </c>
      <c r="I342" s="106">
        <f>H342/'System Assumptions'!$F$15</f>
        <v>15.252270619126433</v>
      </c>
      <c r="J342" s="42">
        <f>'System Assumptions'!$E$30+'System Assumptions'!$E$28-'Data Model Calculations'!I342</f>
        <v>64.501329380873571</v>
      </c>
      <c r="K342" s="45">
        <f t="shared" si="61"/>
        <v>54.37072544952769</v>
      </c>
      <c r="L342" s="46">
        <f t="shared" si="65"/>
        <v>736701980339809.25</v>
      </c>
      <c r="M342" s="47">
        <f>D342/1000*('System Assumptions'!$F$20*1000000)</f>
        <v>276691425000.00018</v>
      </c>
      <c r="N342" s="48"/>
      <c r="O342" s="49">
        <f>(F342/1000)*('System Assumptions'!$F$21*1000000)</f>
        <v>6427291623373.3125</v>
      </c>
      <c r="P342" s="49">
        <f t="shared" si="60"/>
        <v>-6810052082389.0078</v>
      </c>
      <c r="Q342" s="48">
        <f t="shared" si="66"/>
        <v>736595911305793.5</v>
      </c>
      <c r="R342" s="53">
        <f t="shared" si="67"/>
        <v>54.362897249684238</v>
      </c>
      <c r="S342" s="52">
        <v>35</v>
      </c>
    </row>
    <row r="343" spans="1:19">
      <c r="A343" s="3">
        <f t="shared" si="62"/>
        <v>29</v>
      </c>
      <c r="B343" s="3">
        <f t="shared" si="63"/>
        <v>341</v>
      </c>
      <c r="C343" s="40">
        <f t="shared" si="64"/>
        <v>13549607334.625124</v>
      </c>
      <c r="D343" s="41">
        <f>'System Assumptions'!$E$11/12</f>
        <v>75242280</v>
      </c>
      <c r="E343" s="41">
        <f>-'System Assumptions'!$E$10/12</f>
        <v>-133627000</v>
      </c>
      <c r="F343" s="41">
        <f>IF(I342&lt;'System Assumptions'!$E$29,'Hydrological Data Model'!$E$33/12,'Hydrological Data Model'!$E$33/12)</f>
        <v>183636903.52495179</v>
      </c>
      <c r="G343" s="42">
        <f>IF(I342&lt;'System Assumptions'!$E$29,0,-(MIN('Hydrological Data Model'!$E$34,'Hydrological Data Model'!$E$33-'System Assumptions'!$E$12))/12)</f>
        <v>-125252183.52495177</v>
      </c>
      <c r="H343" s="42">
        <f t="shared" si="59"/>
        <v>13549607334.625124</v>
      </c>
      <c r="I343" s="106">
        <f>H343/'System Assumptions'!$F$15</f>
        <v>15.252270619126433</v>
      </c>
      <c r="J343" s="42">
        <f>'System Assumptions'!$E$30+'System Assumptions'!$E$28-'Data Model Calculations'!I343</f>
        <v>64.501329380873571</v>
      </c>
      <c r="K343" s="45">
        <f t="shared" si="61"/>
        <v>54.362897249684238</v>
      </c>
      <c r="L343" s="46">
        <f t="shared" si="65"/>
        <v>736595911305793.5</v>
      </c>
      <c r="M343" s="47">
        <f>D343/1000*('System Assumptions'!$F$20*1000000)</f>
        <v>276691425000.00018</v>
      </c>
      <c r="N343" s="48"/>
      <c r="O343" s="49">
        <f>(F343/1000)*('System Assumptions'!$F$21*1000000)</f>
        <v>6427291623373.3125</v>
      </c>
      <c r="P343" s="49">
        <f t="shared" si="60"/>
        <v>-6809071583265.5459</v>
      </c>
      <c r="Q343" s="48">
        <f t="shared" si="66"/>
        <v>736490822770901.25</v>
      </c>
      <c r="R343" s="53">
        <f t="shared" si="67"/>
        <v>54.355141413496739</v>
      </c>
      <c r="S343" s="52">
        <v>35</v>
      </c>
    </row>
    <row r="344" spans="1:19">
      <c r="A344" s="3">
        <f t="shared" si="62"/>
        <v>29</v>
      </c>
      <c r="B344" s="3">
        <f t="shared" si="63"/>
        <v>342</v>
      </c>
      <c r="C344" s="40">
        <f t="shared" si="64"/>
        <v>13549607334.625124</v>
      </c>
      <c r="D344" s="41">
        <f>'System Assumptions'!$E$11/12</f>
        <v>75242280</v>
      </c>
      <c r="E344" s="41">
        <f>-'System Assumptions'!$E$10/12</f>
        <v>-133627000</v>
      </c>
      <c r="F344" s="41">
        <f>IF(I343&lt;'System Assumptions'!$E$29,'Hydrological Data Model'!$E$33/12,'Hydrological Data Model'!$E$33/12)</f>
        <v>183636903.52495179</v>
      </c>
      <c r="G344" s="42">
        <f>IF(I343&lt;'System Assumptions'!$E$29,0,-(MIN('Hydrological Data Model'!$E$34,'Hydrological Data Model'!$E$33-'System Assumptions'!$E$12))/12)</f>
        <v>-125252183.52495177</v>
      </c>
      <c r="H344" s="42">
        <f t="shared" si="59"/>
        <v>13549607334.625124</v>
      </c>
      <c r="I344" s="106">
        <f>H344/'System Assumptions'!$F$15</f>
        <v>15.252270619126433</v>
      </c>
      <c r="J344" s="42">
        <f>'System Assumptions'!$E$30+'System Assumptions'!$E$28-'Data Model Calculations'!I344</f>
        <v>64.501329380873571</v>
      </c>
      <c r="K344" s="45">
        <f t="shared" si="61"/>
        <v>54.355141413496739</v>
      </c>
      <c r="L344" s="46">
        <f t="shared" si="65"/>
        <v>736490822770901.25</v>
      </c>
      <c r="M344" s="47">
        <f>D344/1000*('System Assumptions'!$F$20*1000000)</f>
        <v>276691425000.00018</v>
      </c>
      <c r="N344" s="48"/>
      <c r="O344" s="49">
        <f>(F344/1000)*('System Assumptions'!$F$21*1000000)</f>
        <v>6427291623373.3125</v>
      </c>
      <c r="P344" s="49">
        <f t="shared" si="60"/>
        <v>-6808100147848</v>
      </c>
      <c r="Q344" s="48">
        <f t="shared" si="66"/>
        <v>736386705671426.5</v>
      </c>
      <c r="R344" s="53">
        <f t="shared" si="67"/>
        <v>54.34745727203763</v>
      </c>
      <c r="S344" s="52">
        <v>35</v>
      </c>
    </row>
    <row r="345" spans="1:19">
      <c r="A345" s="3">
        <f t="shared" si="62"/>
        <v>29</v>
      </c>
      <c r="B345" s="3">
        <f t="shared" si="63"/>
        <v>343</v>
      </c>
      <c r="C345" s="40">
        <f t="shared" si="64"/>
        <v>13549607334.625124</v>
      </c>
      <c r="D345" s="41">
        <f>'System Assumptions'!$E$11/12</f>
        <v>75242280</v>
      </c>
      <c r="E345" s="41">
        <f>-'System Assumptions'!$E$10/12</f>
        <v>-133627000</v>
      </c>
      <c r="F345" s="41">
        <f>IF(I344&lt;'System Assumptions'!$E$29,'Hydrological Data Model'!$E$33/12,'Hydrological Data Model'!$E$33/12)</f>
        <v>183636903.52495179</v>
      </c>
      <c r="G345" s="42">
        <f>IF(I344&lt;'System Assumptions'!$E$29,0,-(MIN('Hydrological Data Model'!$E$34,'Hydrological Data Model'!$E$33-'System Assumptions'!$E$12))/12)</f>
        <v>-125252183.52495177</v>
      </c>
      <c r="H345" s="42">
        <f t="shared" si="59"/>
        <v>13549607334.625124</v>
      </c>
      <c r="I345" s="106">
        <f>H345/'System Assumptions'!$F$15</f>
        <v>15.252270619126433</v>
      </c>
      <c r="J345" s="42">
        <f>'System Assumptions'!$E$30+'System Assumptions'!$E$28-'Data Model Calculations'!I345</f>
        <v>64.501329380873571</v>
      </c>
      <c r="K345" s="45">
        <f t="shared" si="61"/>
        <v>54.34745727203763</v>
      </c>
      <c r="L345" s="46">
        <f t="shared" si="65"/>
        <v>736386705671426.5</v>
      </c>
      <c r="M345" s="47">
        <f>D345/1000*('System Assumptions'!$F$20*1000000)</f>
        <v>276691425000.00018</v>
      </c>
      <c r="N345" s="48"/>
      <c r="O345" s="49">
        <f>(F345/1000)*('System Assumptions'!$F$21*1000000)</f>
        <v>6427291623373.3125</v>
      </c>
      <c r="P345" s="49">
        <f t="shared" si="60"/>
        <v>-6807137692351.7324</v>
      </c>
      <c r="Q345" s="48">
        <f t="shared" si="66"/>
        <v>736283551027448</v>
      </c>
      <c r="R345" s="53">
        <f t="shared" si="67"/>
        <v>54.339844162562869</v>
      </c>
      <c r="S345" s="52">
        <v>35</v>
      </c>
    </row>
    <row r="346" spans="1:19">
      <c r="A346" s="3">
        <f t="shared" si="62"/>
        <v>29</v>
      </c>
      <c r="B346" s="3">
        <f t="shared" si="63"/>
        <v>344</v>
      </c>
      <c r="C346" s="40">
        <f t="shared" si="64"/>
        <v>13549607334.625124</v>
      </c>
      <c r="D346" s="41">
        <f>'System Assumptions'!$E$11/12</f>
        <v>75242280</v>
      </c>
      <c r="E346" s="41">
        <f>-'System Assumptions'!$E$10/12</f>
        <v>-133627000</v>
      </c>
      <c r="F346" s="41">
        <f>IF(I345&lt;'System Assumptions'!$E$29,'Hydrological Data Model'!$E$33/12,'Hydrological Data Model'!$E$33/12)</f>
        <v>183636903.52495179</v>
      </c>
      <c r="G346" s="42">
        <f>IF(I345&lt;'System Assumptions'!$E$29,0,-(MIN('Hydrological Data Model'!$E$34,'Hydrological Data Model'!$E$33-'System Assumptions'!$E$12))/12)</f>
        <v>-125252183.52495177</v>
      </c>
      <c r="H346" s="42">
        <f t="shared" si="59"/>
        <v>13549607334.625124</v>
      </c>
      <c r="I346" s="106">
        <f>H346/'System Assumptions'!$F$15</f>
        <v>15.252270619126433</v>
      </c>
      <c r="J346" s="42">
        <f>'System Assumptions'!$E$30+'System Assumptions'!$E$28-'Data Model Calculations'!I346</f>
        <v>64.501329380873571</v>
      </c>
      <c r="K346" s="45">
        <f t="shared" si="61"/>
        <v>54.339844162562869</v>
      </c>
      <c r="L346" s="46">
        <f t="shared" si="65"/>
        <v>736283551027448</v>
      </c>
      <c r="M346" s="47">
        <f>D346/1000*('System Assumptions'!$F$20*1000000)</f>
        <v>276691425000.00018</v>
      </c>
      <c r="N346" s="48"/>
      <c r="O346" s="49">
        <f>(F346/1000)*('System Assumptions'!$F$21*1000000)</f>
        <v>6427291623373.3125</v>
      </c>
      <c r="P346" s="49">
        <f t="shared" si="60"/>
        <v>-6806184133766.6025</v>
      </c>
      <c r="Q346" s="48">
        <f t="shared" si="66"/>
        <v>736181349942054.63</v>
      </c>
      <c r="R346" s="53">
        <f t="shared" si="67"/>
        <v>54.332301428454826</v>
      </c>
      <c r="S346" s="52">
        <v>35</v>
      </c>
    </row>
    <row r="347" spans="1:19">
      <c r="A347" s="3">
        <f t="shared" si="62"/>
        <v>29</v>
      </c>
      <c r="B347" s="3">
        <f t="shared" si="63"/>
        <v>345</v>
      </c>
      <c r="C347" s="40">
        <f t="shared" si="64"/>
        <v>13549607334.625124</v>
      </c>
      <c r="D347" s="41">
        <f>'System Assumptions'!$E$11/12</f>
        <v>75242280</v>
      </c>
      <c r="E347" s="41">
        <f>-'System Assumptions'!$E$10/12</f>
        <v>-133627000</v>
      </c>
      <c r="F347" s="41">
        <f>IF(I346&lt;'System Assumptions'!$E$29,'Hydrological Data Model'!$E$33/12,'Hydrological Data Model'!$E$33/12)</f>
        <v>183636903.52495179</v>
      </c>
      <c r="G347" s="42">
        <f>IF(I346&lt;'System Assumptions'!$E$29,0,-(MIN('Hydrological Data Model'!$E$34,'Hydrological Data Model'!$E$33-'System Assumptions'!$E$12))/12)</f>
        <v>-125252183.52495177</v>
      </c>
      <c r="H347" s="42">
        <f t="shared" si="59"/>
        <v>13549607334.625124</v>
      </c>
      <c r="I347" s="106">
        <f>H347/'System Assumptions'!$F$15</f>
        <v>15.252270619126433</v>
      </c>
      <c r="J347" s="42">
        <f>'System Assumptions'!$E$30+'System Assumptions'!$E$28-'Data Model Calculations'!I347</f>
        <v>64.501329380873571</v>
      </c>
      <c r="K347" s="45">
        <f t="shared" si="61"/>
        <v>54.332301428454826</v>
      </c>
      <c r="L347" s="46">
        <f t="shared" si="65"/>
        <v>736181349942054.63</v>
      </c>
      <c r="M347" s="47">
        <f>D347/1000*('System Assumptions'!$F$20*1000000)</f>
        <v>276691425000.00018</v>
      </c>
      <c r="N347" s="48"/>
      <c r="O347" s="49">
        <f>(F347/1000)*('System Assumptions'!$F$21*1000000)</f>
        <v>6427291623373.3125</v>
      </c>
      <c r="P347" s="49">
        <f t="shared" si="60"/>
        <v>-6805239389849.8232</v>
      </c>
      <c r="Q347" s="48">
        <f t="shared" si="66"/>
        <v>736080093600578.13</v>
      </c>
      <c r="R347" s="53">
        <f t="shared" si="67"/>
        <v>54.324828419165641</v>
      </c>
      <c r="S347" s="52">
        <v>35</v>
      </c>
    </row>
    <row r="348" spans="1:19">
      <c r="A348" s="3">
        <f t="shared" si="62"/>
        <v>29</v>
      </c>
      <c r="B348" s="3">
        <f t="shared" si="63"/>
        <v>346</v>
      </c>
      <c r="C348" s="40">
        <f t="shared" si="64"/>
        <v>13549607334.625124</v>
      </c>
      <c r="D348" s="41">
        <f>'System Assumptions'!$E$11/12</f>
        <v>75242280</v>
      </c>
      <c r="E348" s="41">
        <f>-'System Assumptions'!$E$10/12</f>
        <v>-133627000</v>
      </c>
      <c r="F348" s="41">
        <f>IF(I347&lt;'System Assumptions'!$E$29,'Hydrological Data Model'!$E$33/12,'Hydrological Data Model'!$E$33/12)</f>
        <v>183636903.52495179</v>
      </c>
      <c r="G348" s="42">
        <f>IF(I347&lt;'System Assumptions'!$E$29,0,-(MIN('Hydrological Data Model'!$E$34,'Hydrological Data Model'!$E$33-'System Assumptions'!$E$12))/12)</f>
        <v>-125252183.52495177</v>
      </c>
      <c r="H348" s="42">
        <f t="shared" si="59"/>
        <v>13549607334.625124</v>
      </c>
      <c r="I348" s="106">
        <f>H348/'System Assumptions'!$F$15</f>
        <v>15.252270619126433</v>
      </c>
      <c r="J348" s="42">
        <f>'System Assumptions'!$E$30+'System Assumptions'!$E$28-'Data Model Calculations'!I348</f>
        <v>64.501329380873571</v>
      </c>
      <c r="K348" s="45">
        <f t="shared" si="61"/>
        <v>54.324828419165641</v>
      </c>
      <c r="L348" s="46">
        <f t="shared" si="65"/>
        <v>736080093600578.13</v>
      </c>
      <c r="M348" s="47">
        <f>D348/1000*('System Assumptions'!$F$20*1000000)</f>
        <v>276691425000.00018</v>
      </c>
      <c r="N348" s="48"/>
      <c r="O348" s="49">
        <f>(F348/1000)*('System Assumptions'!$F$21*1000000)</f>
        <v>6427291623373.3125</v>
      </c>
      <c r="P348" s="49">
        <f t="shared" si="60"/>
        <v>-6804303379118.8496</v>
      </c>
      <c r="Q348" s="48">
        <f t="shared" si="66"/>
        <v>735979773269832.63</v>
      </c>
      <c r="R348" s="53">
        <f t="shared" si="67"/>
        <v>54.317424490161052</v>
      </c>
      <c r="S348" s="52">
        <v>35</v>
      </c>
    </row>
    <row r="349" spans="1:19">
      <c r="A349" s="3">
        <f t="shared" si="62"/>
        <v>29</v>
      </c>
      <c r="B349" s="3">
        <f t="shared" si="63"/>
        <v>347</v>
      </c>
      <c r="C349" s="40">
        <f t="shared" si="64"/>
        <v>13549607334.625124</v>
      </c>
      <c r="D349" s="41">
        <f>'System Assumptions'!$E$11/12</f>
        <v>75242280</v>
      </c>
      <c r="E349" s="41">
        <f>-'System Assumptions'!$E$10/12</f>
        <v>-133627000</v>
      </c>
      <c r="F349" s="41">
        <f>IF(I348&lt;'System Assumptions'!$E$29,'Hydrological Data Model'!$E$33/12,'Hydrological Data Model'!$E$33/12)</f>
        <v>183636903.52495179</v>
      </c>
      <c r="G349" s="42">
        <f>IF(I348&lt;'System Assumptions'!$E$29,0,-(MIN('Hydrological Data Model'!$E$34,'Hydrological Data Model'!$E$33-'System Assumptions'!$E$12))/12)</f>
        <v>-125252183.52495177</v>
      </c>
      <c r="H349" s="42">
        <f t="shared" si="59"/>
        <v>13549607334.625124</v>
      </c>
      <c r="I349" s="106">
        <f>H349/'System Assumptions'!$F$15</f>
        <v>15.252270619126433</v>
      </c>
      <c r="J349" s="42">
        <f>'System Assumptions'!$E$30+'System Assumptions'!$E$28-'Data Model Calculations'!I349</f>
        <v>64.501329380873571</v>
      </c>
      <c r="K349" s="45">
        <f t="shared" si="61"/>
        <v>54.317424490161052</v>
      </c>
      <c r="L349" s="46">
        <f t="shared" si="65"/>
        <v>735979773269832.63</v>
      </c>
      <c r="M349" s="47">
        <f>D349/1000*('System Assumptions'!$F$20*1000000)</f>
        <v>276691425000.00018</v>
      </c>
      <c r="N349" s="48"/>
      <c r="O349" s="49">
        <f>(F349/1000)*('System Assumptions'!$F$21*1000000)</f>
        <v>6427291623373.3125</v>
      </c>
      <c r="P349" s="49">
        <f t="shared" si="60"/>
        <v>-6803376020844.3623</v>
      </c>
      <c r="Q349" s="48">
        <f t="shared" si="66"/>
        <v>735880380297361.63</v>
      </c>
      <c r="R349" s="53">
        <f t="shared" si="67"/>
        <v>54.310089002864906</v>
      </c>
      <c r="S349" s="52">
        <v>35</v>
      </c>
    </row>
    <row r="350" spans="1:19">
      <c r="A350" s="3">
        <f t="shared" si="62"/>
        <v>29</v>
      </c>
      <c r="B350" s="3">
        <f t="shared" si="63"/>
        <v>348</v>
      </c>
      <c r="C350" s="40">
        <f t="shared" si="64"/>
        <v>13549607334.625124</v>
      </c>
      <c r="D350" s="41">
        <f>'System Assumptions'!$E$11/12</f>
        <v>75242280</v>
      </c>
      <c r="E350" s="41">
        <f>-'System Assumptions'!$E$10/12</f>
        <v>-133627000</v>
      </c>
      <c r="F350" s="41">
        <f>IF(I349&lt;'System Assumptions'!$E$29,'Hydrological Data Model'!$E$33/12,'Hydrological Data Model'!$E$33/12)</f>
        <v>183636903.52495179</v>
      </c>
      <c r="G350" s="42">
        <f>IF(I349&lt;'System Assumptions'!$E$29,0,-(MIN('Hydrological Data Model'!$E$34,'Hydrological Data Model'!$E$33-'System Assumptions'!$E$12))/12)</f>
        <v>-125252183.52495177</v>
      </c>
      <c r="H350" s="42">
        <f t="shared" si="59"/>
        <v>13549607334.625124</v>
      </c>
      <c r="I350" s="106">
        <f>H350/'System Assumptions'!$F$15</f>
        <v>15.252270619126433</v>
      </c>
      <c r="J350" s="42">
        <f>'System Assumptions'!$E$30+'System Assumptions'!$E$28-'Data Model Calculations'!I350</f>
        <v>64.501329380873571</v>
      </c>
      <c r="K350" s="45">
        <f t="shared" si="61"/>
        <v>54.310089002864906</v>
      </c>
      <c r="L350" s="46">
        <f t="shared" si="65"/>
        <v>735880380297361.63</v>
      </c>
      <c r="M350" s="47">
        <f>D350/1000*('System Assumptions'!$F$20*1000000)</f>
        <v>276691425000.00018</v>
      </c>
      <c r="N350" s="48"/>
      <c r="O350" s="49">
        <f>(F350/1000)*('System Assumptions'!$F$21*1000000)</f>
        <v>6427291623373.3125</v>
      </c>
      <c r="P350" s="49">
        <f t="shared" si="60"/>
        <v>-6802457235043.2998</v>
      </c>
      <c r="Q350" s="48">
        <f t="shared" si="66"/>
        <v>735781906110691.75</v>
      </c>
      <c r="R350" s="53">
        <f t="shared" si="67"/>
        <v>54.302821324603983</v>
      </c>
      <c r="S350" s="52">
        <v>35</v>
      </c>
    </row>
    <row r="351" spans="1:19">
      <c r="A351" s="3">
        <f t="shared" si="62"/>
        <v>30</v>
      </c>
      <c r="B351" s="3">
        <f t="shared" si="63"/>
        <v>349</v>
      </c>
      <c r="C351" s="40">
        <f t="shared" si="64"/>
        <v>13549607334.625124</v>
      </c>
      <c r="D351" s="41">
        <f>'System Assumptions'!$E$11/12</f>
        <v>75242280</v>
      </c>
      <c r="E351" s="41">
        <f>-'System Assumptions'!$E$10/12</f>
        <v>-133627000</v>
      </c>
      <c r="F351" s="41">
        <f>IF(I350&lt;'System Assumptions'!$E$29,'Hydrological Data Model'!$E$33/12,'Hydrological Data Model'!$E$33/12)</f>
        <v>183636903.52495179</v>
      </c>
      <c r="G351" s="42">
        <f>IF(I350&lt;'System Assumptions'!$E$29,0,-(MIN('Hydrological Data Model'!$E$34,'Hydrological Data Model'!$E$33-'System Assumptions'!$E$12))/12)</f>
        <v>-125252183.52495177</v>
      </c>
      <c r="H351" s="42">
        <f t="shared" si="59"/>
        <v>13549607334.625124</v>
      </c>
      <c r="I351" s="106">
        <f>H351/'System Assumptions'!$F$15</f>
        <v>15.252270619126433</v>
      </c>
      <c r="J351" s="42">
        <f>'System Assumptions'!$E$30+'System Assumptions'!$E$28-'Data Model Calculations'!I351</f>
        <v>64.501329380873571</v>
      </c>
      <c r="K351" s="45">
        <f t="shared" si="61"/>
        <v>54.302821324603983</v>
      </c>
      <c r="L351" s="46">
        <f t="shared" si="65"/>
        <v>735781906110691.75</v>
      </c>
      <c r="M351" s="47">
        <f>D351/1000*('System Assumptions'!$F$20*1000000)</f>
        <v>276691425000.00018</v>
      </c>
      <c r="N351" s="48"/>
      <c r="O351" s="49">
        <f>(F351/1000)*('System Assumptions'!$F$21*1000000)</f>
        <v>6427291623373.3125</v>
      </c>
      <c r="P351" s="49">
        <f t="shared" si="60"/>
        <v>-6801546942471.9619</v>
      </c>
      <c r="Q351" s="48">
        <f t="shared" si="66"/>
        <v>735684342216593</v>
      </c>
      <c r="R351" s="53">
        <f t="shared" si="67"/>
        <v>54.295620828553488</v>
      </c>
      <c r="S351" s="52">
        <v>35</v>
      </c>
    </row>
    <row r="352" spans="1:19">
      <c r="A352" s="3">
        <f t="shared" si="62"/>
        <v>30</v>
      </c>
      <c r="B352" s="3">
        <f t="shared" si="63"/>
        <v>350</v>
      </c>
      <c r="C352" s="40">
        <f t="shared" si="64"/>
        <v>13549607334.625124</v>
      </c>
      <c r="D352" s="41">
        <f>'System Assumptions'!$E$11/12</f>
        <v>75242280</v>
      </c>
      <c r="E352" s="41">
        <f>-'System Assumptions'!$E$10/12</f>
        <v>-133627000</v>
      </c>
      <c r="F352" s="41">
        <f>IF(I351&lt;'System Assumptions'!$E$29,'Hydrological Data Model'!$E$33/12,'Hydrological Data Model'!$E$33/12)</f>
        <v>183636903.52495179</v>
      </c>
      <c r="G352" s="42">
        <f>IF(I351&lt;'System Assumptions'!$E$29,0,-(MIN('Hydrological Data Model'!$E$34,'Hydrological Data Model'!$E$33-'System Assumptions'!$E$12))/12)</f>
        <v>-125252183.52495177</v>
      </c>
      <c r="H352" s="42">
        <f t="shared" si="59"/>
        <v>13549607334.625124</v>
      </c>
      <c r="I352" s="106">
        <f>H352/'System Assumptions'!$F$15</f>
        <v>15.252270619126433</v>
      </c>
      <c r="J352" s="42">
        <f>'System Assumptions'!$E$30+'System Assumptions'!$E$28-'Data Model Calculations'!I352</f>
        <v>64.501329380873571</v>
      </c>
      <c r="K352" s="45">
        <f t="shared" si="61"/>
        <v>54.295620828553488</v>
      </c>
      <c r="L352" s="46">
        <f t="shared" si="65"/>
        <v>735684342216593</v>
      </c>
      <c r="M352" s="47">
        <f>D352/1000*('System Assumptions'!$F$20*1000000)</f>
        <v>276691425000.00018</v>
      </c>
      <c r="N352" s="48"/>
      <c r="O352" s="49">
        <f>(F352/1000)*('System Assumptions'!$F$21*1000000)</f>
        <v>6427291623373.3125</v>
      </c>
      <c r="P352" s="49">
        <f t="shared" si="60"/>
        <v>-6800645064619.1748</v>
      </c>
      <c r="Q352" s="48">
        <f t="shared" si="66"/>
        <v>735587680200347.13</v>
      </c>
      <c r="R352" s="53">
        <f t="shared" si="67"/>
        <v>54.288486893683</v>
      </c>
      <c r="S352" s="52">
        <v>35</v>
      </c>
    </row>
    <row r="353" spans="1:19">
      <c r="A353" s="3">
        <f t="shared" si="62"/>
        <v>30</v>
      </c>
      <c r="B353" s="3">
        <f t="shared" si="63"/>
        <v>351</v>
      </c>
      <c r="C353" s="40">
        <f t="shared" si="64"/>
        <v>13549607334.625124</v>
      </c>
      <c r="D353" s="41">
        <f>'System Assumptions'!$E$11/12</f>
        <v>75242280</v>
      </c>
      <c r="E353" s="41">
        <f>-'System Assumptions'!$E$10/12</f>
        <v>-133627000</v>
      </c>
      <c r="F353" s="41">
        <f>IF(I352&lt;'System Assumptions'!$E$29,'Hydrological Data Model'!$E$33/12,'Hydrological Data Model'!$E$33/12)</f>
        <v>183636903.52495179</v>
      </c>
      <c r="G353" s="42">
        <f>IF(I352&lt;'System Assumptions'!$E$29,0,-(MIN('Hydrological Data Model'!$E$34,'Hydrological Data Model'!$E$33-'System Assumptions'!$E$12))/12)</f>
        <v>-125252183.52495177</v>
      </c>
      <c r="H353" s="42">
        <f t="shared" si="59"/>
        <v>13549607334.625124</v>
      </c>
      <c r="I353" s="106">
        <f>H353/'System Assumptions'!$F$15</f>
        <v>15.252270619126433</v>
      </c>
      <c r="J353" s="42">
        <f>'System Assumptions'!$E$30+'System Assumptions'!$E$28-'Data Model Calculations'!I353</f>
        <v>64.501329380873571</v>
      </c>
      <c r="K353" s="45">
        <f t="shared" si="61"/>
        <v>54.288486893683</v>
      </c>
      <c r="L353" s="46">
        <f t="shared" si="65"/>
        <v>735587680200347.13</v>
      </c>
      <c r="M353" s="47">
        <f>D353/1000*('System Assumptions'!$F$20*1000000)</f>
        <v>276691425000.00018</v>
      </c>
      <c r="N353" s="48"/>
      <c r="O353" s="49">
        <f>(F353/1000)*('System Assumptions'!$F$21*1000000)</f>
        <v>6427291623373.3125</v>
      </c>
      <c r="P353" s="49">
        <f t="shared" si="60"/>
        <v>-6799751523699.5225</v>
      </c>
      <c r="Q353" s="48">
        <f t="shared" si="66"/>
        <v>735491911725021</v>
      </c>
      <c r="R353" s="53">
        <f t="shared" si="67"/>
        <v>54.281418904702882</v>
      </c>
      <c r="S353" s="52">
        <v>35</v>
      </c>
    </row>
    <row r="354" spans="1:19">
      <c r="A354" s="3">
        <f t="shared" si="62"/>
        <v>30</v>
      </c>
      <c r="B354" s="3">
        <f t="shared" si="63"/>
        <v>352</v>
      </c>
      <c r="C354" s="40">
        <f t="shared" si="64"/>
        <v>13549607334.625124</v>
      </c>
      <c r="D354" s="41">
        <f>'System Assumptions'!$E$11/12</f>
        <v>75242280</v>
      </c>
      <c r="E354" s="41">
        <f>-'System Assumptions'!$E$10/12</f>
        <v>-133627000</v>
      </c>
      <c r="F354" s="41">
        <f>IF(I353&lt;'System Assumptions'!$E$29,'Hydrological Data Model'!$E$33/12,'Hydrological Data Model'!$E$33/12)</f>
        <v>183636903.52495179</v>
      </c>
      <c r="G354" s="42">
        <f>IF(I353&lt;'System Assumptions'!$E$29,0,-(MIN('Hydrological Data Model'!$E$34,'Hydrological Data Model'!$E$33-'System Assumptions'!$E$12))/12)</f>
        <v>-125252183.52495177</v>
      </c>
      <c r="H354" s="42">
        <f t="shared" si="59"/>
        <v>13549607334.625124</v>
      </c>
      <c r="I354" s="106">
        <f>H354/'System Assumptions'!$F$15</f>
        <v>15.252270619126433</v>
      </c>
      <c r="J354" s="42">
        <f>'System Assumptions'!$E$30+'System Assumptions'!$E$28-'Data Model Calculations'!I354</f>
        <v>64.501329380873571</v>
      </c>
      <c r="K354" s="45">
        <f t="shared" si="61"/>
        <v>54.281418904702882</v>
      </c>
      <c r="L354" s="46">
        <f t="shared" si="65"/>
        <v>735491911725021</v>
      </c>
      <c r="M354" s="47">
        <f>D354/1000*('System Assumptions'!$F$20*1000000)</f>
        <v>276691425000.00018</v>
      </c>
      <c r="N354" s="48"/>
      <c r="O354" s="49">
        <f>(F354/1000)*('System Assumptions'!$F$21*1000000)</f>
        <v>6427291623373.3125</v>
      </c>
      <c r="P354" s="49">
        <f t="shared" si="60"/>
        <v>-6798866242646.6318</v>
      </c>
      <c r="Q354" s="48">
        <f t="shared" si="66"/>
        <v>735397028530747.63</v>
      </c>
      <c r="R354" s="53">
        <f t="shared" si="67"/>
        <v>54.274416252011171</v>
      </c>
      <c r="S354" s="52">
        <v>35</v>
      </c>
    </row>
    <row r="355" spans="1:19">
      <c r="A355" s="3">
        <f t="shared" si="62"/>
        <v>30</v>
      </c>
      <c r="B355" s="3">
        <f t="shared" si="63"/>
        <v>353</v>
      </c>
      <c r="C355" s="40">
        <f t="shared" si="64"/>
        <v>13549607334.625124</v>
      </c>
      <c r="D355" s="41">
        <f>'System Assumptions'!$E$11/12</f>
        <v>75242280</v>
      </c>
      <c r="E355" s="41">
        <f>-'System Assumptions'!$E$10/12</f>
        <v>-133627000</v>
      </c>
      <c r="F355" s="41">
        <f>IF(I354&lt;'System Assumptions'!$E$29,'Hydrological Data Model'!$E$33/12,'Hydrological Data Model'!$E$33/12)</f>
        <v>183636903.52495179</v>
      </c>
      <c r="G355" s="42">
        <f>IF(I354&lt;'System Assumptions'!$E$29,0,-(MIN('Hydrological Data Model'!$E$34,'Hydrological Data Model'!$E$33-'System Assumptions'!$E$12))/12)</f>
        <v>-125252183.52495177</v>
      </c>
      <c r="H355" s="42">
        <f t="shared" si="59"/>
        <v>13549607334.625124</v>
      </c>
      <c r="I355" s="106">
        <f>H355/'System Assumptions'!$F$15</f>
        <v>15.252270619126433</v>
      </c>
      <c r="J355" s="42">
        <f>'System Assumptions'!$E$30+'System Assumptions'!$E$28-'Data Model Calculations'!I355</f>
        <v>64.501329380873571</v>
      </c>
      <c r="K355" s="45">
        <f t="shared" si="61"/>
        <v>54.274416252011171</v>
      </c>
      <c r="L355" s="46">
        <f t="shared" si="65"/>
        <v>735397028530747.63</v>
      </c>
      <c r="M355" s="47">
        <f>D355/1000*('System Assumptions'!$F$20*1000000)</f>
        <v>276691425000.00018</v>
      </c>
      <c r="N355" s="48"/>
      <c r="O355" s="49">
        <f>(F355/1000)*('System Assumptions'!$F$21*1000000)</f>
        <v>6427291623373.3125</v>
      </c>
      <c r="P355" s="49">
        <f t="shared" si="60"/>
        <v>-6797989145106.5283</v>
      </c>
      <c r="Q355" s="48">
        <f t="shared" si="66"/>
        <v>735303022434014.5</v>
      </c>
      <c r="R355" s="53">
        <f t="shared" si="67"/>
        <v>54.267478331641115</v>
      </c>
      <c r="S355" s="52">
        <v>35</v>
      </c>
    </row>
    <row r="356" spans="1:19">
      <c r="A356" s="3">
        <f t="shared" si="62"/>
        <v>30</v>
      </c>
      <c r="B356" s="3">
        <f t="shared" si="63"/>
        <v>354</v>
      </c>
      <c r="C356" s="40">
        <f t="shared" si="64"/>
        <v>13549607334.625124</v>
      </c>
      <c r="D356" s="41">
        <f>'System Assumptions'!$E$11/12</f>
        <v>75242280</v>
      </c>
      <c r="E356" s="41">
        <f>-'System Assumptions'!$E$10/12</f>
        <v>-133627000</v>
      </c>
      <c r="F356" s="41">
        <f>IF(I355&lt;'System Assumptions'!$E$29,'Hydrological Data Model'!$E$33/12,'Hydrological Data Model'!$E$33/12)</f>
        <v>183636903.52495179</v>
      </c>
      <c r="G356" s="42">
        <f>IF(I355&lt;'System Assumptions'!$E$29,0,-(MIN('Hydrological Data Model'!$E$34,'Hydrological Data Model'!$E$33-'System Assumptions'!$E$12))/12)</f>
        <v>-125252183.52495177</v>
      </c>
      <c r="H356" s="42">
        <f t="shared" si="59"/>
        <v>13549607334.625124</v>
      </c>
      <c r="I356" s="106">
        <f>H356/'System Assumptions'!$F$15</f>
        <v>15.252270619126433</v>
      </c>
      <c r="J356" s="42">
        <f>'System Assumptions'!$E$30+'System Assumptions'!$E$28-'Data Model Calculations'!I356</f>
        <v>64.501329380873571</v>
      </c>
      <c r="K356" s="45">
        <f t="shared" si="61"/>
        <v>54.267478331641115</v>
      </c>
      <c r="L356" s="46">
        <f t="shared" si="65"/>
        <v>735303022434014.5</v>
      </c>
      <c r="M356" s="47">
        <f>D356/1000*('System Assumptions'!$F$20*1000000)</f>
        <v>276691425000.00018</v>
      </c>
      <c r="N356" s="48"/>
      <c r="O356" s="49">
        <f>(F356/1000)*('System Assumptions'!$F$21*1000000)</f>
        <v>6427291623373.3125</v>
      </c>
      <c r="P356" s="49">
        <f t="shared" si="60"/>
        <v>-6797120155431.0557</v>
      </c>
      <c r="Q356" s="48">
        <f t="shared" si="66"/>
        <v>735209885326956.75</v>
      </c>
      <c r="R356" s="53">
        <f t="shared" si="67"/>
        <v>54.26060454520897</v>
      </c>
      <c r="S356" s="52">
        <v>35</v>
      </c>
    </row>
    <row r="357" spans="1:19">
      <c r="A357" s="3">
        <f t="shared" si="62"/>
        <v>30</v>
      </c>
      <c r="B357" s="3">
        <f t="shared" si="63"/>
        <v>355</v>
      </c>
      <c r="C357" s="40">
        <f t="shared" si="64"/>
        <v>13549607334.625124</v>
      </c>
      <c r="D357" s="41">
        <f>'System Assumptions'!$E$11/12</f>
        <v>75242280</v>
      </c>
      <c r="E357" s="41">
        <f>-'System Assumptions'!$E$10/12</f>
        <v>-133627000</v>
      </c>
      <c r="F357" s="41">
        <f>IF(I356&lt;'System Assumptions'!$E$29,'Hydrological Data Model'!$E$33/12,'Hydrological Data Model'!$E$33/12)</f>
        <v>183636903.52495179</v>
      </c>
      <c r="G357" s="42">
        <f>IF(I356&lt;'System Assumptions'!$E$29,0,-(MIN('Hydrological Data Model'!$E$34,'Hydrological Data Model'!$E$33-'System Assumptions'!$E$12))/12)</f>
        <v>-125252183.52495177</v>
      </c>
      <c r="H357" s="42">
        <f t="shared" si="59"/>
        <v>13549607334.625124</v>
      </c>
      <c r="I357" s="106">
        <f>H357/'System Assumptions'!$F$15</f>
        <v>15.252270619126433</v>
      </c>
      <c r="J357" s="42">
        <f>'System Assumptions'!$E$30+'System Assumptions'!$E$28-'Data Model Calculations'!I357</f>
        <v>64.501329380873571</v>
      </c>
      <c r="K357" s="45">
        <f t="shared" si="61"/>
        <v>54.26060454520897</v>
      </c>
      <c r="L357" s="46">
        <f t="shared" si="65"/>
        <v>735209885326956.75</v>
      </c>
      <c r="M357" s="47">
        <f>D357/1000*('System Assumptions'!$F$20*1000000)</f>
        <v>276691425000.00018</v>
      </c>
      <c r="N357" s="48"/>
      <c r="O357" s="49">
        <f>(F357/1000)*('System Assumptions'!$F$21*1000000)</f>
        <v>6427291623373.3125</v>
      </c>
      <c r="P357" s="49">
        <f t="shared" si="60"/>
        <v>-6796259198671.3457</v>
      </c>
      <c r="Q357" s="48">
        <f t="shared" si="66"/>
        <v>735117609176658.63</v>
      </c>
      <c r="R357" s="53">
        <f t="shared" si="67"/>
        <v>54.253794299862427</v>
      </c>
      <c r="S357" s="52">
        <v>35</v>
      </c>
    </row>
    <row r="358" spans="1:19">
      <c r="A358" s="3">
        <f t="shared" si="62"/>
        <v>30</v>
      </c>
      <c r="B358" s="3">
        <f t="shared" si="63"/>
        <v>356</v>
      </c>
      <c r="C358" s="40">
        <f t="shared" si="64"/>
        <v>13549607334.625124</v>
      </c>
      <c r="D358" s="41">
        <f>'System Assumptions'!$E$11/12</f>
        <v>75242280</v>
      </c>
      <c r="E358" s="41">
        <f>-'System Assumptions'!$E$10/12</f>
        <v>-133627000</v>
      </c>
      <c r="F358" s="41">
        <f>IF(I357&lt;'System Assumptions'!$E$29,'Hydrological Data Model'!$E$33/12,'Hydrological Data Model'!$E$33/12)</f>
        <v>183636903.52495179</v>
      </c>
      <c r="G358" s="42">
        <f>IF(I357&lt;'System Assumptions'!$E$29,0,-(MIN('Hydrological Data Model'!$E$34,'Hydrological Data Model'!$E$33-'System Assumptions'!$E$12))/12)</f>
        <v>-125252183.52495177</v>
      </c>
      <c r="H358" s="42">
        <f t="shared" si="59"/>
        <v>13549607334.625124</v>
      </c>
      <c r="I358" s="106">
        <f>H358/'System Assumptions'!$F$15</f>
        <v>15.252270619126433</v>
      </c>
      <c r="J358" s="42">
        <f>'System Assumptions'!$E$30+'System Assumptions'!$E$28-'Data Model Calculations'!I358</f>
        <v>64.501329380873571</v>
      </c>
      <c r="K358" s="45">
        <f t="shared" si="61"/>
        <v>54.253794299862427</v>
      </c>
      <c r="L358" s="46">
        <f t="shared" si="65"/>
        <v>735117609176658.63</v>
      </c>
      <c r="M358" s="47">
        <f>D358/1000*('System Assumptions'!$F$20*1000000)</f>
        <v>276691425000.00018</v>
      </c>
      <c r="N358" s="48"/>
      <c r="O358" s="49">
        <f>(F358/1000)*('System Assumptions'!$F$21*1000000)</f>
        <v>6427291623373.3125</v>
      </c>
      <c r="P358" s="49">
        <f t="shared" si="60"/>
        <v>-6795406200571.3506</v>
      </c>
      <c r="Q358" s="48">
        <f t="shared" si="66"/>
        <v>735026186024460.63</v>
      </c>
      <c r="R358" s="53">
        <f t="shared" si="67"/>
        <v>54.247047008229529</v>
      </c>
      <c r="S358" s="52">
        <v>35</v>
      </c>
    </row>
    <row r="359" spans="1:19">
      <c r="A359" s="3">
        <f t="shared" si="62"/>
        <v>30</v>
      </c>
      <c r="B359" s="3">
        <f t="shared" si="63"/>
        <v>357</v>
      </c>
      <c r="C359" s="40">
        <f t="shared" si="64"/>
        <v>13549607334.625124</v>
      </c>
      <c r="D359" s="41">
        <f>'System Assumptions'!$E$11/12</f>
        <v>75242280</v>
      </c>
      <c r="E359" s="41">
        <f>-'System Assumptions'!$E$10/12</f>
        <v>-133627000</v>
      </c>
      <c r="F359" s="41">
        <f>IF(I358&lt;'System Assumptions'!$E$29,'Hydrological Data Model'!$E$33/12,'Hydrological Data Model'!$E$33/12)</f>
        <v>183636903.52495179</v>
      </c>
      <c r="G359" s="42">
        <f>IF(I358&lt;'System Assumptions'!$E$29,0,-(MIN('Hydrological Data Model'!$E$34,'Hydrological Data Model'!$E$33-'System Assumptions'!$E$12))/12)</f>
        <v>-125252183.52495177</v>
      </c>
      <c r="H359" s="42">
        <f t="shared" si="59"/>
        <v>13549607334.625124</v>
      </c>
      <c r="I359" s="106">
        <f>H359/'System Assumptions'!$F$15</f>
        <v>15.252270619126433</v>
      </c>
      <c r="J359" s="42">
        <f>'System Assumptions'!$E$30+'System Assumptions'!$E$28-'Data Model Calculations'!I359</f>
        <v>64.501329380873571</v>
      </c>
      <c r="K359" s="45">
        <f t="shared" si="61"/>
        <v>54.247047008229529</v>
      </c>
      <c r="L359" s="46">
        <f t="shared" si="65"/>
        <v>735026186024460.63</v>
      </c>
      <c r="M359" s="47">
        <f>D359/1000*('System Assumptions'!$F$20*1000000)</f>
        <v>276691425000.00018</v>
      </c>
      <c r="N359" s="48"/>
      <c r="O359" s="49">
        <f>(F359/1000)*('System Assumptions'!$F$21*1000000)</f>
        <v>6427291623373.3125</v>
      </c>
      <c r="P359" s="49">
        <f t="shared" si="60"/>
        <v>-6794561087561.4512</v>
      </c>
      <c r="Q359" s="48">
        <f t="shared" si="66"/>
        <v>734935607985272.5</v>
      </c>
      <c r="R359" s="53">
        <f t="shared" si="67"/>
        <v>54.240362088367917</v>
      </c>
      <c r="S359" s="52">
        <v>35</v>
      </c>
    </row>
    <row r="360" spans="1:19">
      <c r="A360" s="3">
        <f t="shared" si="62"/>
        <v>30</v>
      </c>
      <c r="B360" s="3">
        <f t="shared" si="63"/>
        <v>358</v>
      </c>
      <c r="C360" s="40">
        <f t="shared" si="64"/>
        <v>13549607334.625124</v>
      </c>
      <c r="D360" s="41">
        <f>'System Assumptions'!$E$11/12</f>
        <v>75242280</v>
      </c>
      <c r="E360" s="41">
        <f>-'System Assumptions'!$E$10/12</f>
        <v>-133627000</v>
      </c>
      <c r="F360" s="41">
        <f>IF(I359&lt;'System Assumptions'!$E$29,'Hydrological Data Model'!$E$33/12,'Hydrological Data Model'!$E$33/12)</f>
        <v>183636903.52495179</v>
      </c>
      <c r="G360" s="42">
        <f>IF(I359&lt;'System Assumptions'!$E$29,0,-(MIN('Hydrological Data Model'!$E$34,'Hydrological Data Model'!$E$33-'System Assumptions'!$E$12))/12)</f>
        <v>-125252183.52495177</v>
      </c>
      <c r="H360" s="42">
        <f t="shared" si="59"/>
        <v>13549607334.625124</v>
      </c>
      <c r="I360" s="106">
        <f>H360/'System Assumptions'!$F$15</f>
        <v>15.252270619126433</v>
      </c>
      <c r="J360" s="42">
        <f>'System Assumptions'!$E$30+'System Assumptions'!$E$28-'Data Model Calculations'!I360</f>
        <v>64.501329380873571</v>
      </c>
      <c r="K360" s="45">
        <f t="shared" si="61"/>
        <v>54.240362088367917</v>
      </c>
      <c r="L360" s="46">
        <f t="shared" si="65"/>
        <v>734935607985272.5</v>
      </c>
      <c r="M360" s="47">
        <f>D360/1000*('System Assumptions'!$F$20*1000000)</f>
        <v>276691425000.00018</v>
      </c>
      <c r="N360" s="48"/>
      <c r="O360" s="49">
        <f>(F360/1000)*('System Assumptions'!$F$21*1000000)</f>
        <v>6427291623373.3125</v>
      </c>
      <c r="P360" s="49">
        <f t="shared" si="60"/>
        <v>-6793723786752.0938</v>
      </c>
      <c r="Q360" s="48">
        <f t="shared" si="66"/>
        <v>734845867246893.63</v>
      </c>
      <c r="R360" s="53">
        <f t="shared" si="67"/>
        <v>54.233738963714735</v>
      </c>
      <c r="S360" s="52">
        <v>35</v>
      </c>
    </row>
    <row r="361" spans="1:19">
      <c r="A361" s="3">
        <f t="shared" si="62"/>
        <v>30</v>
      </c>
      <c r="B361" s="3">
        <f t="shared" si="63"/>
        <v>359</v>
      </c>
      <c r="C361" s="40">
        <f t="shared" si="64"/>
        <v>13549607334.625124</v>
      </c>
      <c r="D361" s="41">
        <f>'System Assumptions'!$E$11/12</f>
        <v>75242280</v>
      </c>
      <c r="E361" s="41">
        <f>-'System Assumptions'!$E$10/12</f>
        <v>-133627000</v>
      </c>
      <c r="F361" s="41">
        <f>IF(I360&lt;'System Assumptions'!$E$29,'Hydrological Data Model'!$E$33/12,'Hydrological Data Model'!$E$33/12)</f>
        <v>183636903.52495179</v>
      </c>
      <c r="G361" s="42">
        <f>IF(I360&lt;'System Assumptions'!$E$29,0,-(MIN('Hydrological Data Model'!$E$34,'Hydrological Data Model'!$E$33-'System Assumptions'!$E$12))/12)</f>
        <v>-125252183.52495177</v>
      </c>
      <c r="H361" s="42">
        <f t="shared" si="59"/>
        <v>13549607334.625124</v>
      </c>
      <c r="I361" s="106">
        <f>H361/'System Assumptions'!$F$15</f>
        <v>15.252270619126433</v>
      </c>
      <c r="J361" s="42">
        <f>'System Assumptions'!$E$30+'System Assumptions'!$E$28-'Data Model Calculations'!I361</f>
        <v>64.501329380873571</v>
      </c>
      <c r="K361" s="45">
        <f t="shared" si="61"/>
        <v>54.233738963714735</v>
      </c>
      <c r="L361" s="46">
        <f t="shared" si="65"/>
        <v>734845867246893.63</v>
      </c>
      <c r="M361" s="47">
        <f>D361/1000*('System Assumptions'!$F$20*1000000)</f>
        <v>276691425000.00018</v>
      </c>
      <c r="N361" s="48"/>
      <c r="O361" s="49">
        <f>(F361/1000)*('System Assumptions'!$F$21*1000000)</f>
        <v>6427291623373.3125</v>
      </c>
      <c r="P361" s="49">
        <f t="shared" si="60"/>
        <v>-6792894225927.5254</v>
      </c>
      <c r="Q361" s="48">
        <f t="shared" si="66"/>
        <v>734756956069339.5</v>
      </c>
      <c r="R361" s="53">
        <f t="shared" si="67"/>
        <v>54.227177063036862</v>
      </c>
      <c r="S361" s="52">
        <v>35</v>
      </c>
    </row>
    <row r="362" spans="1:19">
      <c r="A362" s="3">
        <f t="shared" si="62"/>
        <v>30</v>
      </c>
      <c r="B362" s="3">
        <f t="shared" si="63"/>
        <v>360</v>
      </c>
      <c r="C362" s="40">
        <f t="shared" si="64"/>
        <v>13549607334.625124</v>
      </c>
      <c r="D362" s="41">
        <f>'System Assumptions'!$E$11/12</f>
        <v>75242280</v>
      </c>
      <c r="E362" s="41">
        <f>-'System Assumptions'!$E$10/12</f>
        <v>-133627000</v>
      </c>
      <c r="F362" s="41">
        <f>IF(I361&lt;'System Assumptions'!$E$29,'Hydrological Data Model'!$E$33/12,'Hydrological Data Model'!$E$33/12)</f>
        <v>183636903.52495179</v>
      </c>
      <c r="G362" s="42">
        <f>IF(I361&lt;'System Assumptions'!$E$29,0,-(MIN('Hydrological Data Model'!$E$34,'Hydrological Data Model'!$E$33-'System Assumptions'!$E$12))/12)</f>
        <v>-125252183.52495177</v>
      </c>
      <c r="H362" s="42">
        <f t="shared" si="59"/>
        <v>13549607334.625124</v>
      </c>
      <c r="I362" s="106">
        <f>H362/'System Assumptions'!$F$15</f>
        <v>15.252270619126433</v>
      </c>
      <c r="J362" s="42">
        <f>'System Assumptions'!$E$30+'System Assumptions'!$E$28-'Data Model Calculations'!I362</f>
        <v>64.501329380873571</v>
      </c>
      <c r="K362" s="45">
        <f t="shared" si="61"/>
        <v>54.227177063036862</v>
      </c>
      <c r="L362" s="46">
        <f t="shared" si="65"/>
        <v>734756956069339.5</v>
      </c>
      <c r="M362" s="47">
        <f>D362/1000*('System Assumptions'!$F$20*1000000)</f>
        <v>276691425000.00018</v>
      </c>
      <c r="N362" s="48"/>
      <c r="O362" s="49">
        <f>(F362/1000)*('System Assumptions'!$F$21*1000000)</f>
        <v>6427291623373.3125</v>
      </c>
      <c r="P362" s="49">
        <f t="shared" si="60"/>
        <v>-6792072333539.5479</v>
      </c>
      <c r="Q362" s="48">
        <f t="shared" si="66"/>
        <v>734668866784173.25</v>
      </c>
      <c r="R362" s="53">
        <f t="shared" si="67"/>
        <v>54.220675820381572</v>
      </c>
      <c r="S362" s="52">
        <v>35</v>
      </c>
    </row>
    <row r="363" spans="1:19">
      <c r="A363" s="3">
        <f t="shared" ref="A363:A426" si="68">IF(MOD(B363,12)=1,A362+1,A362)</f>
        <v>31</v>
      </c>
      <c r="B363" s="3">
        <f t="shared" si="63"/>
        <v>361</v>
      </c>
      <c r="C363" s="40">
        <f t="shared" ref="C363:C426" si="69">H362</f>
        <v>13549607334.625124</v>
      </c>
      <c r="D363" s="41">
        <f>'System Assumptions'!$E$11/12</f>
        <v>75242280</v>
      </c>
      <c r="E363" s="41">
        <f>-'System Assumptions'!$E$10/12</f>
        <v>-133627000</v>
      </c>
      <c r="F363" s="41">
        <f>IF(I362&lt;'System Assumptions'!$E$29,'Hydrological Data Model'!$E$33/12,'Hydrological Data Model'!$E$33/12)</f>
        <v>183636903.52495179</v>
      </c>
      <c r="G363" s="42">
        <f>IF(I362&lt;'System Assumptions'!$E$29,0,-(MIN('Hydrological Data Model'!$E$34,'Hydrological Data Model'!$E$33-'System Assumptions'!$E$12))/12)</f>
        <v>-125252183.52495177</v>
      </c>
      <c r="H363" s="42">
        <f t="shared" si="59"/>
        <v>13549607334.625124</v>
      </c>
      <c r="I363" s="106">
        <f>H363/'System Assumptions'!$F$15</f>
        <v>15.252270619126433</v>
      </c>
      <c r="J363" s="42">
        <f>'System Assumptions'!$E$30+'System Assumptions'!$E$28-'Data Model Calculations'!I363</f>
        <v>64.501329380873571</v>
      </c>
      <c r="K363" s="45">
        <f t="shared" ref="K363:K426" si="70">R362</f>
        <v>54.220675820381572</v>
      </c>
      <c r="L363" s="46">
        <f t="shared" ref="L363:L426" si="71">Q362</f>
        <v>734668866784173.25</v>
      </c>
      <c r="M363" s="47">
        <f>D363/1000*('System Assumptions'!$F$20*1000000)</f>
        <v>276691425000.00018</v>
      </c>
      <c r="N363" s="48"/>
      <c r="O363" s="49">
        <f>(F363/1000)*('System Assumptions'!$F$21*1000000)</f>
        <v>6427291623373.3125</v>
      </c>
      <c r="P363" s="49">
        <f t="shared" si="60"/>
        <v>-6791258038701.3467</v>
      </c>
      <c r="Q363" s="48">
        <f t="shared" ref="Q363:Q426" si="72">SUM(L363:P363)</f>
        <v>734581591793845.13</v>
      </c>
      <c r="R363" s="53">
        <f t="shared" ref="R363:R426" si="73">(Q363*1000)/(H363*1000000)</f>
        <v>54.214234675027853</v>
      </c>
      <c r="S363" s="52">
        <v>35</v>
      </c>
    </row>
    <row r="364" spans="1:19">
      <c r="A364" s="3">
        <f t="shared" si="68"/>
        <v>31</v>
      </c>
      <c r="B364" s="3">
        <f t="shared" si="63"/>
        <v>362</v>
      </c>
      <c r="C364" s="40">
        <f t="shared" si="69"/>
        <v>13549607334.625124</v>
      </c>
      <c r="D364" s="41">
        <f>'System Assumptions'!$E$11/12</f>
        <v>75242280</v>
      </c>
      <c r="E364" s="41">
        <f>-'System Assumptions'!$E$10/12</f>
        <v>-133627000</v>
      </c>
      <c r="F364" s="41">
        <f>IF(I363&lt;'System Assumptions'!$E$29,'Hydrological Data Model'!$E$33/12,'Hydrological Data Model'!$E$33/12)</f>
        <v>183636903.52495179</v>
      </c>
      <c r="G364" s="42">
        <f>IF(I363&lt;'System Assumptions'!$E$29,0,-(MIN('Hydrological Data Model'!$E$34,'Hydrological Data Model'!$E$33-'System Assumptions'!$E$12))/12)</f>
        <v>-125252183.52495177</v>
      </c>
      <c r="H364" s="42">
        <f t="shared" si="59"/>
        <v>13549607334.625124</v>
      </c>
      <c r="I364" s="106">
        <f>H364/'System Assumptions'!$F$15</f>
        <v>15.252270619126433</v>
      </c>
      <c r="J364" s="42">
        <f>'System Assumptions'!$E$30+'System Assumptions'!$E$28-'Data Model Calculations'!I364</f>
        <v>64.501329380873571</v>
      </c>
      <c r="K364" s="45">
        <f t="shared" si="70"/>
        <v>54.214234675027853</v>
      </c>
      <c r="L364" s="46">
        <f t="shared" si="71"/>
        <v>734581591793845.13</v>
      </c>
      <c r="M364" s="47">
        <f>D364/1000*('System Assumptions'!$F$20*1000000)</f>
        <v>276691425000.00018</v>
      </c>
      <c r="N364" s="48"/>
      <c r="O364" s="49">
        <f>(F364/1000)*('System Assumptions'!$F$21*1000000)</f>
        <v>6427291623373.3125</v>
      </c>
      <c r="P364" s="49">
        <f t="shared" si="60"/>
        <v>-6790451271181.3916</v>
      </c>
      <c r="Q364" s="48">
        <f t="shared" si="72"/>
        <v>734495123571037.13</v>
      </c>
      <c r="R364" s="53">
        <f t="shared" si="73"/>
        <v>54.207853071437988</v>
      </c>
      <c r="S364" s="52">
        <v>35</v>
      </c>
    </row>
    <row r="365" spans="1:19">
      <c r="A365" s="3">
        <f t="shared" si="68"/>
        <v>31</v>
      </c>
      <c r="B365" s="3">
        <f t="shared" si="63"/>
        <v>363</v>
      </c>
      <c r="C365" s="40">
        <f t="shared" si="69"/>
        <v>13549607334.625124</v>
      </c>
      <c r="D365" s="41">
        <f>'System Assumptions'!$E$11/12</f>
        <v>75242280</v>
      </c>
      <c r="E365" s="41">
        <f>-'System Assumptions'!$E$10/12</f>
        <v>-133627000</v>
      </c>
      <c r="F365" s="41">
        <f>IF(I364&lt;'System Assumptions'!$E$29,'Hydrological Data Model'!$E$33/12,'Hydrological Data Model'!$E$33/12)</f>
        <v>183636903.52495179</v>
      </c>
      <c r="G365" s="42">
        <f>IF(I364&lt;'System Assumptions'!$E$29,0,-(MIN('Hydrological Data Model'!$E$34,'Hydrological Data Model'!$E$33-'System Assumptions'!$E$12))/12)</f>
        <v>-125252183.52495177</v>
      </c>
      <c r="H365" s="42">
        <f t="shared" si="59"/>
        <v>13549607334.625124</v>
      </c>
      <c r="I365" s="106">
        <f>H365/'System Assumptions'!$F$15</f>
        <v>15.252270619126433</v>
      </c>
      <c r="J365" s="42">
        <f>'System Assumptions'!$E$30+'System Assumptions'!$E$28-'Data Model Calculations'!I365</f>
        <v>64.501329380873571</v>
      </c>
      <c r="K365" s="45">
        <f t="shared" si="70"/>
        <v>54.207853071437988</v>
      </c>
      <c r="L365" s="46">
        <f t="shared" si="71"/>
        <v>734495123571037.13</v>
      </c>
      <c r="M365" s="47">
        <f>D365/1000*('System Assumptions'!$F$20*1000000)</f>
        <v>276691425000.00018</v>
      </c>
      <c r="N365" s="48"/>
      <c r="O365" s="49">
        <f>(F365/1000)*('System Assumptions'!$F$21*1000000)</f>
        <v>6427291623373.3125</v>
      </c>
      <c r="P365" s="49">
        <f t="shared" si="60"/>
        <v>-6789651961397.3711</v>
      </c>
      <c r="Q365" s="48">
        <f t="shared" si="72"/>
        <v>734409454658013.13</v>
      </c>
      <c r="R365" s="53">
        <f t="shared" si="73"/>
        <v>54.201530459209579</v>
      </c>
      <c r="S365" s="52">
        <v>35</v>
      </c>
    </row>
    <row r="366" spans="1:19">
      <c r="A366" s="3">
        <f t="shared" si="68"/>
        <v>31</v>
      </c>
      <c r="B366" s="3">
        <f t="shared" si="63"/>
        <v>364</v>
      </c>
      <c r="C366" s="40">
        <f t="shared" si="69"/>
        <v>13549607334.625124</v>
      </c>
      <c r="D366" s="41">
        <f>'System Assumptions'!$E$11/12</f>
        <v>75242280</v>
      </c>
      <c r="E366" s="41">
        <f>-'System Assumptions'!$E$10/12</f>
        <v>-133627000</v>
      </c>
      <c r="F366" s="41">
        <f>IF(I365&lt;'System Assumptions'!$E$29,'Hydrological Data Model'!$E$33/12,'Hydrological Data Model'!$E$33/12)</f>
        <v>183636903.52495179</v>
      </c>
      <c r="G366" s="42">
        <f>IF(I365&lt;'System Assumptions'!$E$29,0,-(MIN('Hydrological Data Model'!$E$34,'Hydrological Data Model'!$E$33-'System Assumptions'!$E$12))/12)</f>
        <v>-125252183.52495177</v>
      </c>
      <c r="H366" s="42">
        <f t="shared" si="59"/>
        <v>13549607334.625124</v>
      </c>
      <c r="I366" s="106">
        <f>H366/'System Assumptions'!$F$15</f>
        <v>15.252270619126433</v>
      </c>
      <c r="J366" s="42">
        <f>'System Assumptions'!$E$30+'System Assumptions'!$E$28-'Data Model Calculations'!I366</f>
        <v>64.501329380873571</v>
      </c>
      <c r="K366" s="45">
        <f t="shared" si="70"/>
        <v>54.201530459209579</v>
      </c>
      <c r="L366" s="46">
        <f t="shared" si="71"/>
        <v>734409454658013.13</v>
      </c>
      <c r="M366" s="47">
        <f>D366/1000*('System Assumptions'!$F$20*1000000)</f>
        <v>276691425000.00018</v>
      </c>
      <c r="N366" s="48"/>
      <c r="O366" s="49">
        <f>(F366/1000)*('System Assumptions'!$F$21*1000000)</f>
        <v>6427291623373.3125</v>
      </c>
      <c r="P366" s="49">
        <f t="shared" si="60"/>
        <v>-6788860040410.1807</v>
      </c>
      <c r="Q366" s="48">
        <f t="shared" si="72"/>
        <v>734324577665976.38</v>
      </c>
      <c r="R366" s="53">
        <f t="shared" si="73"/>
        <v>54.195266293028176</v>
      </c>
      <c r="S366" s="52">
        <v>35</v>
      </c>
    </row>
    <row r="367" spans="1:19">
      <c r="A367" s="3">
        <f t="shared" si="68"/>
        <v>31</v>
      </c>
      <c r="B367" s="3">
        <f t="shared" si="63"/>
        <v>365</v>
      </c>
      <c r="C367" s="40">
        <f t="shared" si="69"/>
        <v>13549607334.625124</v>
      </c>
      <c r="D367" s="41">
        <f>'System Assumptions'!$E$11/12</f>
        <v>75242280</v>
      </c>
      <c r="E367" s="41">
        <f>-'System Assumptions'!$E$10/12</f>
        <v>-133627000</v>
      </c>
      <c r="F367" s="41">
        <f>IF(I366&lt;'System Assumptions'!$E$29,'Hydrological Data Model'!$E$33/12,'Hydrological Data Model'!$E$33/12)</f>
        <v>183636903.52495179</v>
      </c>
      <c r="G367" s="42">
        <f>IF(I366&lt;'System Assumptions'!$E$29,0,-(MIN('Hydrological Data Model'!$E$34,'Hydrological Data Model'!$E$33-'System Assumptions'!$E$12))/12)</f>
        <v>-125252183.52495177</v>
      </c>
      <c r="H367" s="42">
        <f t="shared" si="59"/>
        <v>13549607334.625124</v>
      </c>
      <c r="I367" s="106">
        <f>H367/'System Assumptions'!$F$15</f>
        <v>15.252270619126433</v>
      </c>
      <c r="J367" s="42">
        <f>'System Assumptions'!$E$30+'System Assumptions'!$E$28-'Data Model Calculations'!I367</f>
        <v>64.501329380873571</v>
      </c>
      <c r="K367" s="45">
        <f t="shared" si="70"/>
        <v>54.195266293028176</v>
      </c>
      <c r="L367" s="46">
        <f t="shared" si="71"/>
        <v>734324577665976.38</v>
      </c>
      <c r="M367" s="47">
        <f>D367/1000*('System Assumptions'!$F$20*1000000)</f>
        <v>276691425000.00018</v>
      </c>
      <c r="N367" s="48"/>
      <c r="O367" s="49">
        <f>(F367/1000)*('System Assumptions'!$F$21*1000000)</f>
        <v>6427291623373.3125</v>
      </c>
      <c r="P367" s="49">
        <f t="shared" si="60"/>
        <v>-6788075439917.9971</v>
      </c>
      <c r="Q367" s="48">
        <f t="shared" si="72"/>
        <v>734240485274431.75</v>
      </c>
      <c r="R367" s="53">
        <f t="shared" si="73"/>
        <v>54.189060032620198</v>
      </c>
      <c r="S367" s="52">
        <v>35</v>
      </c>
    </row>
    <row r="368" spans="1:19">
      <c r="A368" s="3">
        <f t="shared" si="68"/>
        <v>31</v>
      </c>
      <c r="B368" s="3">
        <f t="shared" si="63"/>
        <v>366</v>
      </c>
      <c r="C368" s="40">
        <f t="shared" si="69"/>
        <v>13549607334.625124</v>
      </c>
      <c r="D368" s="41">
        <f>'System Assumptions'!$E$11/12</f>
        <v>75242280</v>
      </c>
      <c r="E368" s="41">
        <f>-'System Assumptions'!$E$10/12</f>
        <v>-133627000</v>
      </c>
      <c r="F368" s="41">
        <f>IF(I367&lt;'System Assumptions'!$E$29,'Hydrological Data Model'!$E$33/12,'Hydrological Data Model'!$E$33/12)</f>
        <v>183636903.52495179</v>
      </c>
      <c r="G368" s="42">
        <f>IF(I367&lt;'System Assumptions'!$E$29,0,-(MIN('Hydrological Data Model'!$E$34,'Hydrological Data Model'!$E$33-'System Assumptions'!$E$12))/12)</f>
        <v>-125252183.52495177</v>
      </c>
      <c r="H368" s="42">
        <f t="shared" si="59"/>
        <v>13549607334.625124</v>
      </c>
      <c r="I368" s="106">
        <f>H368/'System Assumptions'!$F$15</f>
        <v>15.252270619126433</v>
      </c>
      <c r="J368" s="42">
        <f>'System Assumptions'!$E$30+'System Assumptions'!$E$28-'Data Model Calculations'!I368</f>
        <v>64.501329380873571</v>
      </c>
      <c r="K368" s="45">
        <f t="shared" si="70"/>
        <v>54.189060032620198</v>
      </c>
      <c r="L368" s="46">
        <f t="shared" si="71"/>
        <v>734240485274431.75</v>
      </c>
      <c r="M368" s="47">
        <f>D368/1000*('System Assumptions'!$F$20*1000000)</f>
        <v>276691425000.00018</v>
      </c>
      <c r="N368" s="48"/>
      <c r="O368" s="49">
        <f>(F368/1000)*('System Assumptions'!$F$21*1000000)</f>
        <v>6427291623373.3125</v>
      </c>
      <c r="P368" s="49">
        <f t="shared" si="60"/>
        <v>-6787298092250.374</v>
      </c>
      <c r="Q368" s="48">
        <f t="shared" si="72"/>
        <v>734157170230554.63</v>
      </c>
      <c r="R368" s="53">
        <f t="shared" si="73"/>
        <v>54.182911142706295</v>
      </c>
      <c r="S368" s="52">
        <v>35</v>
      </c>
    </row>
    <row r="369" spans="1:19">
      <c r="A369" s="3">
        <f t="shared" si="68"/>
        <v>31</v>
      </c>
      <c r="B369" s="3">
        <f t="shared" si="63"/>
        <v>367</v>
      </c>
      <c r="C369" s="40">
        <f t="shared" si="69"/>
        <v>13549607334.625124</v>
      </c>
      <c r="D369" s="41">
        <f>'System Assumptions'!$E$11/12</f>
        <v>75242280</v>
      </c>
      <c r="E369" s="41">
        <f>-'System Assumptions'!$E$10/12</f>
        <v>-133627000</v>
      </c>
      <c r="F369" s="41">
        <f>IF(I368&lt;'System Assumptions'!$E$29,'Hydrological Data Model'!$E$33/12,'Hydrological Data Model'!$E$33/12)</f>
        <v>183636903.52495179</v>
      </c>
      <c r="G369" s="42">
        <f>IF(I368&lt;'System Assumptions'!$E$29,0,-(MIN('Hydrological Data Model'!$E$34,'Hydrological Data Model'!$E$33-'System Assumptions'!$E$12))/12)</f>
        <v>-125252183.52495177</v>
      </c>
      <c r="H369" s="42">
        <f t="shared" si="59"/>
        <v>13549607334.625124</v>
      </c>
      <c r="I369" s="106">
        <f>H369/'System Assumptions'!$F$15</f>
        <v>15.252270619126433</v>
      </c>
      <c r="J369" s="42">
        <f>'System Assumptions'!$E$30+'System Assumptions'!$E$28-'Data Model Calculations'!I369</f>
        <v>64.501329380873571</v>
      </c>
      <c r="K369" s="45">
        <f t="shared" si="70"/>
        <v>54.182911142706295</v>
      </c>
      <c r="L369" s="46">
        <f t="shared" si="71"/>
        <v>734157170230554.63</v>
      </c>
      <c r="M369" s="47">
        <f>D369/1000*('System Assumptions'!$F$20*1000000)</f>
        <v>276691425000.00018</v>
      </c>
      <c r="N369" s="48"/>
      <c r="O369" s="49">
        <f>(F369/1000)*('System Assumptions'!$F$21*1000000)</f>
        <v>6427291623373.3125</v>
      </c>
      <c r="P369" s="49">
        <f t="shared" si="60"/>
        <v>-6786527930362.4033</v>
      </c>
      <c r="Q369" s="48">
        <f t="shared" si="72"/>
        <v>734074625348565.63</v>
      </c>
      <c r="R369" s="53">
        <f t="shared" si="73"/>
        <v>54.176819092955306</v>
      </c>
      <c r="S369" s="52">
        <v>35</v>
      </c>
    </row>
    <row r="370" spans="1:19">
      <c r="A370" s="3">
        <f t="shared" si="68"/>
        <v>31</v>
      </c>
      <c r="B370" s="3">
        <f t="shared" si="63"/>
        <v>368</v>
      </c>
      <c r="C370" s="40">
        <f t="shared" si="69"/>
        <v>13549607334.625124</v>
      </c>
      <c r="D370" s="41">
        <f>'System Assumptions'!$E$11/12</f>
        <v>75242280</v>
      </c>
      <c r="E370" s="41">
        <f>-'System Assumptions'!$E$10/12</f>
        <v>-133627000</v>
      </c>
      <c r="F370" s="41">
        <f>IF(I369&lt;'System Assumptions'!$E$29,'Hydrological Data Model'!$E$33/12,'Hydrological Data Model'!$E$33/12)</f>
        <v>183636903.52495179</v>
      </c>
      <c r="G370" s="42">
        <f>IF(I369&lt;'System Assumptions'!$E$29,0,-(MIN('Hydrological Data Model'!$E$34,'Hydrological Data Model'!$E$33-'System Assumptions'!$E$12))/12)</f>
        <v>-125252183.52495177</v>
      </c>
      <c r="H370" s="42">
        <f t="shared" si="59"/>
        <v>13549607334.625124</v>
      </c>
      <c r="I370" s="106">
        <f>H370/'System Assumptions'!$F$15</f>
        <v>15.252270619126433</v>
      </c>
      <c r="J370" s="42">
        <f>'System Assumptions'!$E$30+'System Assumptions'!$E$28-'Data Model Calculations'!I370</f>
        <v>64.501329380873571</v>
      </c>
      <c r="K370" s="45">
        <f t="shared" si="70"/>
        <v>54.176819092955306</v>
      </c>
      <c r="L370" s="46">
        <f t="shared" si="71"/>
        <v>734074625348565.63</v>
      </c>
      <c r="M370" s="47">
        <f>D370/1000*('System Assumptions'!$F$20*1000000)</f>
        <v>276691425000.00018</v>
      </c>
      <c r="N370" s="48"/>
      <c r="O370" s="49">
        <f>(F370/1000)*('System Assumptions'!$F$21*1000000)</f>
        <v>6427291623373.3125</v>
      </c>
      <c r="P370" s="49">
        <f t="shared" si="60"/>
        <v>-6785764887828.9492</v>
      </c>
      <c r="Q370" s="48">
        <f t="shared" si="72"/>
        <v>733992843509110</v>
      </c>
      <c r="R370" s="53">
        <f t="shared" si="73"/>
        <v>54.170783357938348</v>
      </c>
      <c r="S370" s="52">
        <v>35</v>
      </c>
    </row>
    <row r="371" spans="1:19">
      <c r="A371" s="3">
        <f t="shared" si="68"/>
        <v>31</v>
      </c>
      <c r="B371" s="3">
        <f t="shared" si="63"/>
        <v>369</v>
      </c>
      <c r="C371" s="40">
        <f t="shared" si="69"/>
        <v>13549607334.625124</v>
      </c>
      <c r="D371" s="41">
        <f>'System Assumptions'!$E$11/12</f>
        <v>75242280</v>
      </c>
      <c r="E371" s="41">
        <f>-'System Assumptions'!$E$10/12</f>
        <v>-133627000</v>
      </c>
      <c r="F371" s="41">
        <f>IF(I370&lt;'System Assumptions'!$E$29,'Hydrological Data Model'!$E$33/12,'Hydrological Data Model'!$E$33/12)</f>
        <v>183636903.52495179</v>
      </c>
      <c r="G371" s="42">
        <f>IF(I370&lt;'System Assumptions'!$E$29,0,-(MIN('Hydrological Data Model'!$E$34,'Hydrological Data Model'!$E$33-'System Assumptions'!$E$12))/12)</f>
        <v>-125252183.52495177</v>
      </c>
      <c r="H371" s="42">
        <f t="shared" si="59"/>
        <v>13549607334.625124</v>
      </c>
      <c r="I371" s="106">
        <f>H371/'System Assumptions'!$F$15</f>
        <v>15.252270619126433</v>
      </c>
      <c r="J371" s="42">
        <f>'System Assumptions'!$E$30+'System Assumptions'!$E$28-'Data Model Calculations'!I371</f>
        <v>64.501329380873571</v>
      </c>
      <c r="K371" s="45">
        <f t="shared" si="70"/>
        <v>54.170783357938348</v>
      </c>
      <c r="L371" s="46">
        <f t="shared" si="71"/>
        <v>733992843509110</v>
      </c>
      <c r="M371" s="47">
        <f>D371/1000*('System Assumptions'!$F$20*1000000)</f>
        <v>276691425000.00018</v>
      </c>
      <c r="N371" s="48"/>
      <c r="O371" s="49">
        <f>(F371/1000)*('System Assumptions'!$F$21*1000000)</f>
        <v>6427291623373.3125</v>
      </c>
      <c r="P371" s="49">
        <f t="shared" si="60"/>
        <v>-6785008898838.8975</v>
      </c>
      <c r="Q371" s="48">
        <f t="shared" si="72"/>
        <v>733911817658644.38</v>
      </c>
      <c r="R371" s="53">
        <f t="shared" si="73"/>
        <v>54.164803417083633</v>
      </c>
      <c r="S371" s="52">
        <v>35</v>
      </c>
    </row>
    <row r="372" spans="1:19">
      <c r="A372" s="3">
        <f t="shared" si="68"/>
        <v>31</v>
      </c>
      <c r="B372" s="3">
        <f t="shared" si="63"/>
        <v>370</v>
      </c>
      <c r="C372" s="40">
        <f t="shared" si="69"/>
        <v>13549607334.625124</v>
      </c>
      <c r="D372" s="41">
        <f>'System Assumptions'!$E$11/12</f>
        <v>75242280</v>
      </c>
      <c r="E372" s="41">
        <f>-'System Assumptions'!$E$10/12</f>
        <v>-133627000</v>
      </c>
      <c r="F372" s="41">
        <f>IF(I371&lt;'System Assumptions'!$E$29,'Hydrological Data Model'!$E$33/12,'Hydrological Data Model'!$E$33/12)</f>
        <v>183636903.52495179</v>
      </c>
      <c r="G372" s="42">
        <f>IF(I371&lt;'System Assumptions'!$E$29,0,-(MIN('Hydrological Data Model'!$E$34,'Hydrological Data Model'!$E$33-'System Assumptions'!$E$12))/12)</f>
        <v>-125252183.52495177</v>
      </c>
      <c r="H372" s="42">
        <f t="shared" si="59"/>
        <v>13549607334.625124</v>
      </c>
      <c r="I372" s="106">
        <f>H372/'System Assumptions'!$F$15</f>
        <v>15.252270619126433</v>
      </c>
      <c r="J372" s="42">
        <f>'System Assumptions'!$E$30+'System Assumptions'!$E$28-'Data Model Calculations'!I372</f>
        <v>64.501329380873571</v>
      </c>
      <c r="K372" s="45">
        <f t="shared" si="70"/>
        <v>54.164803417083633</v>
      </c>
      <c r="L372" s="46">
        <f t="shared" si="71"/>
        <v>733911817658644.38</v>
      </c>
      <c r="M372" s="47">
        <f>D372/1000*('System Assumptions'!$F$20*1000000)</f>
        <v>276691425000.00018</v>
      </c>
      <c r="N372" s="48"/>
      <c r="O372" s="49">
        <f>(F372/1000)*('System Assumptions'!$F$21*1000000)</f>
        <v>6427291623373.3125</v>
      </c>
      <c r="P372" s="49">
        <f t="shared" si="60"/>
        <v>-6784259898189.4941</v>
      </c>
      <c r="Q372" s="48">
        <f t="shared" si="72"/>
        <v>733831540808828.25</v>
      </c>
      <c r="R372" s="53">
        <f t="shared" si="73"/>
        <v>54.158878754631537</v>
      </c>
      <c r="S372" s="52">
        <v>35</v>
      </c>
    </row>
    <row r="373" spans="1:19">
      <c r="A373" s="3">
        <f t="shared" si="68"/>
        <v>31</v>
      </c>
      <c r="B373" s="3">
        <f t="shared" si="63"/>
        <v>371</v>
      </c>
      <c r="C373" s="40">
        <f t="shared" si="69"/>
        <v>13549607334.625124</v>
      </c>
      <c r="D373" s="41">
        <f>'System Assumptions'!$E$11/12</f>
        <v>75242280</v>
      </c>
      <c r="E373" s="41">
        <f>-'System Assumptions'!$E$10/12</f>
        <v>-133627000</v>
      </c>
      <c r="F373" s="41">
        <f>IF(I372&lt;'System Assumptions'!$E$29,'Hydrological Data Model'!$E$33/12,'Hydrological Data Model'!$E$33/12)</f>
        <v>183636903.52495179</v>
      </c>
      <c r="G373" s="42">
        <f>IF(I372&lt;'System Assumptions'!$E$29,0,-(MIN('Hydrological Data Model'!$E$34,'Hydrological Data Model'!$E$33-'System Assumptions'!$E$12))/12)</f>
        <v>-125252183.52495177</v>
      </c>
      <c r="H373" s="42">
        <f t="shared" si="59"/>
        <v>13549607334.625124</v>
      </c>
      <c r="I373" s="106">
        <f>H373/'System Assumptions'!$F$15</f>
        <v>15.252270619126433</v>
      </c>
      <c r="J373" s="42">
        <f>'System Assumptions'!$E$30+'System Assumptions'!$E$28-'Data Model Calculations'!I373</f>
        <v>64.501329380873571</v>
      </c>
      <c r="K373" s="45">
        <f t="shared" si="70"/>
        <v>54.158878754631537</v>
      </c>
      <c r="L373" s="46">
        <f t="shared" si="71"/>
        <v>733831540808828.25</v>
      </c>
      <c r="M373" s="47">
        <f>D373/1000*('System Assumptions'!$F$20*1000000)</f>
        <v>276691425000.00018</v>
      </c>
      <c r="N373" s="48"/>
      <c r="O373" s="49">
        <f>(F373/1000)*('System Assumptions'!$F$21*1000000)</f>
        <v>6427291623373.3125</v>
      </c>
      <c r="P373" s="49">
        <f t="shared" si="60"/>
        <v>-6783517821280.7197</v>
      </c>
      <c r="Q373" s="48">
        <f t="shared" si="72"/>
        <v>733752006035920.75</v>
      </c>
      <c r="R373" s="53">
        <f t="shared" si="73"/>
        <v>54.153008859590059</v>
      </c>
      <c r="S373" s="52">
        <v>35</v>
      </c>
    </row>
    <row r="374" spans="1:19">
      <c r="A374" s="3">
        <f t="shared" si="68"/>
        <v>31</v>
      </c>
      <c r="B374" s="3">
        <f t="shared" si="63"/>
        <v>372</v>
      </c>
      <c r="C374" s="40">
        <f t="shared" si="69"/>
        <v>13549607334.625124</v>
      </c>
      <c r="D374" s="41">
        <f>'System Assumptions'!$E$11/12</f>
        <v>75242280</v>
      </c>
      <c r="E374" s="41">
        <f>-'System Assumptions'!$E$10/12</f>
        <v>-133627000</v>
      </c>
      <c r="F374" s="41">
        <f>IF(I373&lt;'System Assumptions'!$E$29,'Hydrological Data Model'!$E$33/12,'Hydrological Data Model'!$E$33/12)</f>
        <v>183636903.52495179</v>
      </c>
      <c r="G374" s="42">
        <f>IF(I373&lt;'System Assumptions'!$E$29,0,-(MIN('Hydrological Data Model'!$E$34,'Hydrological Data Model'!$E$33-'System Assumptions'!$E$12))/12)</f>
        <v>-125252183.52495177</v>
      </c>
      <c r="H374" s="42">
        <f t="shared" si="59"/>
        <v>13549607334.625124</v>
      </c>
      <c r="I374" s="106">
        <f>H374/'System Assumptions'!$F$15</f>
        <v>15.252270619126433</v>
      </c>
      <c r="J374" s="42">
        <f>'System Assumptions'!$E$30+'System Assumptions'!$E$28-'Data Model Calculations'!I374</f>
        <v>64.501329380873571</v>
      </c>
      <c r="K374" s="45">
        <f t="shared" si="70"/>
        <v>54.153008859590059</v>
      </c>
      <c r="L374" s="46">
        <f t="shared" si="71"/>
        <v>733752006035920.75</v>
      </c>
      <c r="M374" s="47">
        <f>D374/1000*('System Assumptions'!$F$20*1000000)</f>
        <v>276691425000.00018</v>
      </c>
      <c r="N374" s="48"/>
      <c r="O374" s="49">
        <f>(F374/1000)*('System Assumptions'!$F$21*1000000)</f>
        <v>6427291623373.3125</v>
      </c>
      <c r="P374" s="49">
        <f t="shared" si="60"/>
        <v>-6782782604109.7129</v>
      </c>
      <c r="Q374" s="48">
        <f t="shared" si="72"/>
        <v>733673206480184.25</v>
      </c>
      <c r="R374" s="53">
        <f t="shared" si="73"/>
        <v>54.14719322569082</v>
      </c>
      <c r="S374" s="52">
        <v>35</v>
      </c>
    </row>
    <row r="375" spans="1:19">
      <c r="A375" s="3">
        <f t="shared" si="68"/>
        <v>32</v>
      </c>
      <c r="B375" s="3">
        <f t="shared" si="63"/>
        <v>373</v>
      </c>
      <c r="C375" s="40">
        <f t="shared" si="69"/>
        <v>13549607334.625124</v>
      </c>
      <c r="D375" s="41">
        <f>'System Assumptions'!$E$11/12</f>
        <v>75242280</v>
      </c>
      <c r="E375" s="41">
        <f>-'System Assumptions'!$E$10/12</f>
        <v>-133627000</v>
      </c>
      <c r="F375" s="41">
        <f>IF(I374&lt;'System Assumptions'!$E$29,'Hydrological Data Model'!$E$33/12,'Hydrological Data Model'!$E$33/12)</f>
        <v>183636903.52495179</v>
      </c>
      <c r="G375" s="42">
        <f>IF(I374&lt;'System Assumptions'!$E$29,0,-(MIN('Hydrological Data Model'!$E$34,'Hydrological Data Model'!$E$33-'System Assumptions'!$E$12))/12)</f>
        <v>-125252183.52495177</v>
      </c>
      <c r="H375" s="42">
        <f t="shared" si="59"/>
        <v>13549607334.625124</v>
      </c>
      <c r="I375" s="106">
        <f>H375/'System Assumptions'!$F$15</f>
        <v>15.252270619126433</v>
      </c>
      <c r="J375" s="42">
        <f>'System Assumptions'!$E$30+'System Assumptions'!$E$28-'Data Model Calculations'!I375</f>
        <v>64.501329380873571</v>
      </c>
      <c r="K375" s="45">
        <f t="shared" si="70"/>
        <v>54.14719322569082</v>
      </c>
      <c r="L375" s="46">
        <f t="shared" si="71"/>
        <v>733673206480184.25</v>
      </c>
      <c r="M375" s="47">
        <f>D375/1000*('System Assumptions'!$F$20*1000000)</f>
        <v>276691425000.00018</v>
      </c>
      <c r="N375" s="48"/>
      <c r="O375" s="49">
        <f>(F375/1000)*('System Assumptions'!$F$21*1000000)</f>
        <v>6427291623373.3125</v>
      </c>
      <c r="P375" s="49">
        <f t="shared" si="60"/>
        <v>-6782054183265.252</v>
      </c>
      <c r="Q375" s="48">
        <f t="shared" si="72"/>
        <v>733595135345292.25</v>
      </c>
      <c r="R375" s="53">
        <f t="shared" si="73"/>
        <v>54.141431351345403</v>
      </c>
      <c r="S375" s="52">
        <v>35</v>
      </c>
    </row>
    <row r="376" spans="1:19">
      <c r="A376" s="3">
        <f t="shared" si="68"/>
        <v>32</v>
      </c>
      <c r="B376" s="3">
        <f t="shared" si="63"/>
        <v>374</v>
      </c>
      <c r="C376" s="40">
        <f t="shared" si="69"/>
        <v>13549607334.625124</v>
      </c>
      <c r="D376" s="41">
        <f>'System Assumptions'!$E$11/12</f>
        <v>75242280</v>
      </c>
      <c r="E376" s="41">
        <f>-'System Assumptions'!$E$10/12</f>
        <v>-133627000</v>
      </c>
      <c r="F376" s="41">
        <f>IF(I375&lt;'System Assumptions'!$E$29,'Hydrological Data Model'!$E$33/12,'Hydrological Data Model'!$E$33/12)</f>
        <v>183636903.52495179</v>
      </c>
      <c r="G376" s="42">
        <f>IF(I375&lt;'System Assumptions'!$E$29,0,-(MIN('Hydrological Data Model'!$E$34,'Hydrological Data Model'!$E$33-'System Assumptions'!$E$12))/12)</f>
        <v>-125252183.52495177</v>
      </c>
      <c r="H376" s="42">
        <f t="shared" si="59"/>
        <v>13549607334.625124</v>
      </c>
      <c r="I376" s="106">
        <f>H376/'System Assumptions'!$F$15</f>
        <v>15.252270619126433</v>
      </c>
      <c r="J376" s="42">
        <f>'System Assumptions'!$E$30+'System Assumptions'!$E$28-'Data Model Calculations'!I376</f>
        <v>64.501329380873571</v>
      </c>
      <c r="K376" s="45">
        <f t="shared" si="70"/>
        <v>54.141431351345403</v>
      </c>
      <c r="L376" s="46">
        <f t="shared" si="71"/>
        <v>733595135345292.25</v>
      </c>
      <c r="M376" s="47">
        <f>D376/1000*('System Assumptions'!$F$20*1000000)</f>
        <v>276691425000.00018</v>
      </c>
      <c r="N376" s="48"/>
      <c r="O376" s="49">
        <f>(F376/1000)*('System Assumptions'!$F$21*1000000)</f>
        <v>6427291623373.3125</v>
      </c>
      <c r="P376" s="49">
        <f t="shared" si="60"/>
        <v>-6781332495922.292</v>
      </c>
      <c r="Q376" s="48">
        <f t="shared" si="72"/>
        <v>733517785897743.25</v>
      </c>
      <c r="R376" s="53">
        <f t="shared" si="73"/>
        <v>54.135722739601988</v>
      </c>
      <c r="S376" s="52">
        <v>35</v>
      </c>
    </row>
    <row r="377" spans="1:19">
      <c r="A377" s="3">
        <f t="shared" si="68"/>
        <v>32</v>
      </c>
      <c r="B377" s="3">
        <f t="shared" si="63"/>
        <v>375</v>
      </c>
      <c r="C377" s="40">
        <f t="shared" si="69"/>
        <v>13549607334.625124</v>
      </c>
      <c r="D377" s="41">
        <f>'System Assumptions'!$E$11/12</f>
        <v>75242280</v>
      </c>
      <c r="E377" s="41">
        <f>-'System Assumptions'!$E$10/12</f>
        <v>-133627000</v>
      </c>
      <c r="F377" s="41">
        <f>IF(I376&lt;'System Assumptions'!$E$29,'Hydrological Data Model'!$E$33/12,'Hydrological Data Model'!$E$33/12)</f>
        <v>183636903.52495179</v>
      </c>
      <c r="G377" s="42">
        <f>IF(I376&lt;'System Assumptions'!$E$29,0,-(MIN('Hydrological Data Model'!$E$34,'Hydrological Data Model'!$E$33-'System Assumptions'!$E$12))/12)</f>
        <v>-125252183.52495177</v>
      </c>
      <c r="H377" s="42">
        <f t="shared" si="59"/>
        <v>13549607334.625124</v>
      </c>
      <c r="I377" s="106">
        <f>H377/'System Assumptions'!$F$15</f>
        <v>15.252270619126433</v>
      </c>
      <c r="J377" s="42">
        <f>'System Assumptions'!$E$30+'System Assumptions'!$E$28-'Data Model Calculations'!I377</f>
        <v>64.501329380873571</v>
      </c>
      <c r="K377" s="45">
        <f t="shared" si="70"/>
        <v>54.135722739601988</v>
      </c>
      <c r="L377" s="46">
        <f t="shared" si="71"/>
        <v>733517785897743.25</v>
      </c>
      <c r="M377" s="47">
        <f>D377/1000*('System Assumptions'!$F$20*1000000)</f>
        <v>276691425000.00018</v>
      </c>
      <c r="N377" s="48"/>
      <c r="O377" s="49">
        <f>(F377/1000)*('System Assumptions'!$F$21*1000000)</f>
        <v>6427291623373.3125</v>
      </c>
      <c r="P377" s="49">
        <f t="shared" si="60"/>
        <v>-6780617479836.5332</v>
      </c>
      <c r="Q377" s="48">
        <f t="shared" si="72"/>
        <v>733441151466280</v>
      </c>
      <c r="R377" s="53">
        <f t="shared" si="73"/>
        <v>54.130066898102626</v>
      </c>
      <c r="S377" s="52">
        <v>35</v>
      </c>
    </row>
    <row r="378" spans="1:19">
      <c r="A378" s="3">
        <f t="shared" si="68"/>
        <v>32</v>
      </c>
      <c r="B378" s="3">
        <f t="shared" si="63"/>
        <v>376</v>
      </c>
      <c r="C378" s="40">
        <f t="shared" si="69"/>
        <v>13549607334.625124</v>
      </c>
      <c r="D378" s="41">
        <f>'System Assumptions'!$E$11/12</f>
        <v>75242280</v>
      </c>
      <c r="E378" s="41">
        <f>-'System Assumptions'!$E$10/12</f>
        <v>-133627000</v>
      </c>
      <c r="F378" s="41">
        <f>IF(I377&lt;'System Assumptions'!$E$29,'Hydrological Data Model'!$E$33/12,'Hydrological Data Model'!$E$33/12)</f>
        <v>183636903.52495179</v>
      </c>
      <c r="G378" s="42">
        <f>IF(I377&lt;'System Assumptions'!$E$29,0,-(MIN('Hydrological Data Model'!$E$34,'Hydrological Data Model'!$E$33-'System Assumptions'!$E$12))/12)</f>
        <v>-125252183.52495177</v>
      </c>
      <c r="H378" s="42">
        <f t="shared" si="59"/>
        <v>13549607334.625124</v>
      </c>
      <c r="I378" s="106">
        <f>H378/'System Assumptions'!$F$15</f>
        <v>15.252270619126433</v>
      </c>
      <c r="J378" s="42">
        <f>'System Assumptions'!$E$30+'System Assumptions'!$E$28-'Data Model Calculations'!I378</f>
        <v>64.501329380873571</v>
      </c>
      <c r="K378" s="45">
        <f t="shared" si="70"/>
        <v>54.130066898102626</v>
      </c>
      <c r="L378" s="46">
        <f t="shared" si="71"/>
        <v>733441151466280</v>
      </c>
      <c r="M378" s="47">
        <f>D378/1000*('System Assumptions'!$F$20*1000000)</f>
        <v>276691425000.00018</v>
      </c>
      <c r="N378" s="48"/>
      <c r="O378" s="49">
        <f>(F378/1000)*('System Assumptions'!$F$21*1000000)</f>
        <v>6427291623373.3125</v>
      </c>
      <c r="P378" s="49">
        <f t="shared" si="60"/>
        <v>-6779909073339.0674</v>
      </c>
      <c r="Q378" s="48">
        <f t="shared" si="72"/>
        <v>733365225441314.13</v>
      </c>
      <c r="R378" s="53">
        <f t="shared" si="73"/>
        <v>54.124463339040673</v>
      </c>
      <c r="S378" s="52">
        <v>35</v>
      </c>
    </row>
    <row r="379" spans="1:19">
      <c r="A379" s="3">
        <f t="shared" si="68"/>
        <v>32</v>
      </c>
      <c r="B379" s="3">
        <f t="shared" si="63"/>
        <v>377</v>
      </c>
      <c r="C379" s="40">
        <f t="shared" si="69"/>
        <v>13549607334.625124</v>
      </c>
      <c r="D379" s="41">
        <f>'System Assumptions'!$E$11/12</f>
        <v>75242280</v>
      </c>
      <c r="E379" s="41">
        <f>-'System Assumptions'!$E$10/12</f>
        <v>-133627000</v>
      </c>
      <c r="F379" s="41">
        <f>IF(I378&lt;'System Assumptions'!$E$29,'Hydrological Data Model'!$E$33/12,'Hydrological Data Model'!$E$33/12)</f>
        <v>183636903.52495179</v>
      </c>
      <c r="G379" s="42">
        <f>IF(I378&lt;'System Assumptions'!$E$29,0,-(MIN('Hydrological Data Model'!$E$34,'Hydrological Data Model'!$E$33-'System Assumptions'!$E$12))/12)</f>
        <v>-125252183.52495177</v>
      </c>
      <c r="H379" s="42">
        <f t="shared" si="59"/>
        <v>13549607334.625124</v>
      </c>
      <c r="I379" s="106">
        <f>H379/'System Assumptions'!$F$15</f>
        <v>15.252270619126433</v>
      </c>
      <c r="J379" s="42">
        <f>'System Assumptions'!$E$30+'System Assumptions'!$E$28-'Data Model Calculations'!I379</f>
        <v>64.501329380873571</v>
      </c>
      <c r="K379" s="45">
        <f t="shared" si="70"/>
        <v>54.124463339040673</v>
      </c>
      <c r="L379" s="46">
        <f t="shared" si="71"/>
        <v>733365225441314.13</v>
      </c>
      <c r="M379" s="47">
        <f>D379/1000*('System Assumptions'!$F$20*1000000)</f>
        <v>276691425000.00018</v>
      </c>
      <c r="N379" s="48"/>
      <c r="O379" s="49">
        <f>(F379/1000)*('System Assumptions'!$F$21*1000000)</f>
        <v>6427291623373.3125</v>
      </c>
      <c r="P379" s="49">
        <f t="shared" si="60"/>
        <v>-6779207215331.0459</v>
      </c>
      <c r="Q379" s="48">
        <f t="shared" si="72"/>
        <v>733290001274356.5</v>
      </c>
      <c r="R379" s="53">
        <f t="shared" si="73"/>
        <v>54.118911579118787</v>
      </c>
      <c r="S379" s="52">
        <v>35</v>
      </c>
    </row>
    <row r="380" spans="1:19">
      <c r="A380" s="3">
        <f t="shared" si="68"/>
        <v>32</v>
      </c>
      <c r="B380" s="3">
        <f t="shared" si="63"/>
        <v>378</v>
      </c>
      <c r="C380" s="40">
        <f t="shared" si="69"/>
        <v>13549607334.625124</v>
      </c>
      <c r="D380" s="41">
        <f>'System Assumptions'!$E$11/12</f>
        <v>75242280</v>
      </c>
      <c r="E380" s="41">
        <f>-'System Assumptions'!$E$10/12</f>
        <v>-133627000</v>
      </c>
      <c r="F380" s="41">
        <f>IF(I379&lt;'System Assumptions'!$E$29,'Hydrological Data Model'!$E$33/12,'Hydrological Data Model'!$E$33/12)</f>
        <v>183636903.52495179</v>
      </c>
      <c r="G380" s="42">
        <f>IF(I379&lt;'System Assumptions'!$E$29,0,-(MIN('Hydrological Data Model'!$E$34,'Hydrological Data Model'!$E$33-'System Assumptions'!$E$12))/12)</f>
        <v>-125252183.52495177</v>
      </c>
      <c r="H380" s="42">
        <f t="shared" si="59"/>
        <v>13549607334.625124</v>
      </c>
      <c r="I380" s="106">
        <f>H380/'System Assumptions'!$F$15</f>
        <v>15.252270619126433</v>
      </c>
      <c r="J380" s="42">
        <f>'System Assumptions'!$E$30+'System Assumptions'!$E$28-'Data Model Calculations'!I380</f>
        <v>64.501329380873571</v>
      </c>
      <c r="K380" s="45">
        <f t="shared" si="70"/>
        <v>54.118911579118787</v>
      </c>
      <c r="L380" s="46">
        <f t="shared" si="71"/>
        <v>733290001274356.5</v>
      </c>
      <c r="M380" s="47">
        <f>D380/1000*('System Assumptions'!$F$20*1000000)</f>
        <v>276691425000.00018</v>
      </c>
      <c r="N380" s="48"/>
      <c r="O380" s="49">
        <f>(F380/1000)*('System Assumptions'!$F$21*1000000)</f>
        <v>6427291623373.3125</v>
      </c>
      <c r="P380" s="49">
        <f t="shared" si="60"/>
        <v>-6778511845278.4238</v>
      </c>
      <c r="Q380" s="48">
        <f t="shared" si="72"/>
        <v>733215472477451.38</v>
      </c>
      <c r="R380" s="53">
        <f t="shared" si="73"/>
        <v>54.113411139507178</v>
      </c>
      <c r="S380" s="52">
        <v>35</v>
      </c>
    </row>
    <row r="381" spans="1:19">
      <c r="A381" s="3">
        <f t="shared" si="68"/>
        <v>32</v>
      </c>
      <c r="B381" s="3">
        <f t="shared" si="63"/>
        <v>379</v>
      </c>
      <c r="C381" s="40">
        <f t="shared" si="69"/>
        <v>13549607334.625124</v>
      </c>
      <c r="D381" s="41">
        <f>'System Assumptions'!$E$11/12</f>
        <v>75242280</v>
      </c>
      <c r="E381" s="41">
        <f>-'System Assumptions'!$E$10/12</f>
        <v>-133627000</v>
      </c>
      <c r="F381" s="41">
        <f>IF(I380&lt;'System Assumptions'!$E$29,'Hydrological Data Model'!$E$33/12,'Hydrological Data Model'!$E$33/12)</f>
        <v>183636903.52495179</v>
      </c>
      <c r="G381" s="42">
        <f>IF(I380&lt;'System Assumptions'!$E$29,0,-(MIN('Hydrological Data Model'!$E$34,'Hydrological Data Model'!$E$33-'System Assumptions'!$E$12))/12)</f>
        <v>-125252183.52495177</v>
      </c>
      <c r="H381" s="42">
        <f t="shared" si="59"/>
        <v>13549607334.625124</v>
      </c>
      <c r="I381" s="106">
        <f>H381/'System Assumptions'!$F$15</f>
        <v>15.252270619126433</v>
      </c>
      <c r="J381" s="42">
        <f>'System Assumptions'!$E$30+'System Assumptions'!$E$28-'Data Model Calculations'!I381</f>
        <v>64.501329380873571</v>
      </c>
      <c r="K381" s="45">
        <f t="shared" si="70"/>
        <v>54.113411139507178</v>
      </c>
      <c r="L381" s="46">
        <f t="shared" si="71"/>
        <v>733215472477451.38</v>
      </c>
      <c r="M381" s="47">
        <f>D381/1000*('System Assumptions'!$F$20*1000000)</f>
        <v>276691425000.00018</v>
      </c>
      <c r="N381" s="48"/>
      <c r="O381" s="49">
        <f>(F381/1000)*('System Assumptions'!$F$21*1000000)</f>
        <v>6427291623373.3125</v>
      </c>
      <c r="P381" s="49">
        <f t="shared" si="60"/>
        <v>-6777822903206.7217</v>
      </c>
      <c r="Q381" s="48">
        <f t="shared" si="72"/>
        <v>733141632622618</v>
      </c>
      <c r="R381" s="53">
        <f t="shared" si="73"/>
        <v>54.107961545802375</v>
      </c>
      <c r="S381" s="52">
        <v>35</v>
      </c>
    </row>
    <row r="382" spans="1:19">
      <c r="A382" s="3">
        <f t="shared" si="68"/>
        <v>32</v>
      </c>
      <c r="B382" s="3">
        <f t="shared" si="63"/>
        <v>380</v>
      </c>
      <c r="C382" s="40">
        <f t="shared" si="69"/>
        <v>13549607334.625124</v>
      </c>
      <c r="D382" s="41">
        <f>'System Assumptions'!$E$11/12</f>
        <v>75242280</v>
      </c>
      <c r="E382" s="41">
        <f>-'System Assumptions'!$E$10/12</f>
        <v>-133627000</v>
      </c>
      <c r="F382" s="41">
        <f>IF(I381&lt;'System Assumptions'!$E$29,'Hydrological Data Model'!$E$33/12,'Hydrological Data Model'!$E$33/12)</f>
        <v>183636903.52495179</v>
      </c>
      <c r="G382" s="42">
        <f>IF(I381&lt;'System Assumptions'!$E$29,0,-(MIN('Hydrological Data Model'!$E$34,'Hydrological Data Model'!$E$33-'System Assumptions'!$E$12))/12)</f>
        <v>-125252183.52495177</v>
      </c>
      <c r="H382" s="42">
        <f t="shared" si="59"/>
        <v>13549607334.625124</v>
      </c>
      <c r="I382" s="106">
        <f>H382/'System Assumptions'!$F$15</f>
        <v>15.252270619126433</v>
      </c>
      <c r="J382" s="42">
        <f>'System Assumptions'!$E$30+'System Assumptions'!$E$28-'Data Model Calculations'!I382</f>
        <v>64.501329380873571</v>
      </c>
      <c r="K382" s="45">
        <f t="shared" si="70"/>
        <v>54.107961545802375</v>
      </c>
      <c r="L382" s="46">
        <f t="shared" si="71"/>
        <v>733141632622618</v>
      </c>
      <c r="M382" s="47">
        <f>D382/1000*('System Assumptions'!$F$20*1000000)</f>
        <v>276691425000.00018</v>
      </c>
      <c r="N382" s="48"/>
      <c r="O382" s="49">
        <f>(F382/1000)*('System Assumptions'!$F$21*1000000)</f>
        <v>6427291623373.3125</v>
      </c>
      <c r="P382" s="49">
        <f t="shared" si="60"/>
        <v>-6777140329695.8721</v>
      </c>
      <c r="Q382" s="48">
        <f t="shared" si="72"/>
        <v>733068475341295.38</v>
      </c>
      <c r="R382" s="53">
        <f t="shared" si="73"/>
        <v>54.102562327986249</v>
      </c>
      <c r="S382" s="52">
        <v>35</v>
      </c>
    </row>
    <row r="383" spans="1:19">
      <c r="A383" s="3">
        <f t="shared" si="68"/>
        <v>32</v>
      </c>
      <c r="B383" s="3">
        <f t="shared" si="63"/>
        <v>381</v>
      </c>
      <c r="C383" s="40">
        <f t="shared" si="69"/>
        <v>13549607334.625124</v>
      </c>
      <c r="D383" s="41">
        <f>'System Assumptions'!$E$11/12</f>
        <v>75242280</v>
      </c>
      <c r="E383" s="41">
        <f>-'System Assumptions'!$E$10/12</f>
        <v>-133627000</v>
      </c>
      <c r="F383" s="41">
        <f>IF(I382&lt;'System Assumptions'!$E$29,'Hydrological Data Model'!$E$33/12,'Hydrological Data Model'!$E$33/12)</f>
        <v>183636903.52495179</v>
      </c>
      <c r="G383" s="42">
        <f>IF(I382&lt;'System Assumptions'!$E$29,0,-(MIN('Hydrological Data Model'!$E$34,'Hydrological Data Model'!$E$33-'System Assumptions'!$E$12))/12)</f>
        <v>-125252183.52495177</v>
      </c>
      <c r="H383" s="42">
        <f t="shared" si="59"/>
        <v>13549607334.625124</v>
      </c>
      <c r="I383" s="106">
        <f>H383/'System Assumptions'!$F$15</f>
        <v>15.252270619126433</v>
      </c>
      <c r="J383" s="42">
        <f>'System Assumptions'!$E$30+'System Assumptions'!$E$28-'Data Model Calculations'!I383</f>
        <v>64.501329380873571</v>
      </c>
      <c r="K383" s="45">
        <f t="shared" si="70"/>
        <v>54.102562327986249</v>
      </c>
      <c r="L383" s="46">
        <f t="shared" si="71"/>
        <v>733068475341295.38</v>
      </c>
      <c r="M383" s="47">
        <f>D383/1000*('System Assumptions'!$F$20*1000000)</f>
        <v>276691425000.00018</v>
      </c>
      <c r="N383" s="48"/>
      <c r="O383" s="49">
        <f>(F383/1000)*('System Assumptions'!$F$21*1000000)</f>
        <v>6427291623373.3125</v>
      </c>
      <c r="P383" s="49">
        <f t="shared" si="60"/>
        <v>-6776464065875.0752</v>
      </c>
      <c r="Q383" s="48">
        <f t="shared" si="72"/>
        <v>732995994323793.63</v>
      </c>
      <c r="R383" s="53">
        <f t="shared" si="73"/>
        <v>54.097213020385539</v>
      </c>
      <c r="S383" s="52">
        <v>35</v>
      </c>
    </row>
    <row r="384" spans="1:19">
      <c r="A384" s="3">
        <f t="shared" si="68"/>
        <v>32</v>
      </c>
      <c r="B384" s="3">
        <f t="shared" si="63"/>
        <v>382</v>
      </c>
      <c r="C384" s="40">
        <f t="shared" si="69"/>
        <v>13549607334.625124</v>
      </c>
      <c r="D384" s="41">
        <f>'System Assumptions'!$E$11/12</f>
        <v>75242280</v>
      </c>
      <c r="E384" s="41">
        <f>-'System Assumptions'!$E$10/12</f>
        <v>-133627000</v>
      </c>
      <c r="F384" s="41">
        <f>IF(I383&lt;'System Assumptions'!$E$29,'Hydrological Data Model'!$E$33/12,'Hydrological Data Model'!$E$33/12)</f>
        <v>183636903.52495179</v>
      </c>
      <c r="G384" s="42">
        <f>IF(I383&lt;'System Assumptions'!$E$29,0,-(MIN('Hydrological Data Model'!$E$34,'Hydrological Data Model'!$E$33-'System Assumptions'!$E$12))/12)</f>
        <v>-125252183.52495177</v>
      </c>
      <c r="H384" s="42">
        <f t="shared" si="59"/>
        <v>13549607334.625124</v>
      </c>
      <c r="I384" s="106">
        <f>H384/'System Assumptions'!$F$15</f>
        <v>15.252270619126433</v>
      </c>
      <c r="J384" s="42">
        <f>'System Assumptions'!$E$30+'System Assumptions'!$E$28-'Data Model Calculations'!I384</f>
        <v>64.501329380873571</v>
      </c>
      <c r="K384" s="45">
        <f t="shared" si="70"/>
        <v>54.097213020385539</v>
      </c>
      <c r="L384" s="46">
        <f t="shared" si="71"/>
        <v>732995994323793.63</v>
      </c>
      <c r="M384" s="47">
        <f>D384/1000*('System Assumptions'!$F$20*1000000)</f>
        <v>276691425000.00018</v>
      </c>
      <c r="N384" s="48"/>
      <c r="O384" s="49">
        <f>(F384/1000)*('System Assumptions'!$F$21*1000000)</f>
        <v>6427291623373.3125</v>
      </c>
      <c r="P384" s="49">
        <f t="shared" si="60"/>
        <v>-6775794053417.7402</v>
      </c>
      <c r="Q384" s="48">
        <f t="shared" si="72"/>
        <v>732924183318749.25</v>
      </c>
      <c r="R384" s="53">
        <f t="shared" si="73"/>
        <v>54.091913161631638</v>
      </c>
      <c r="S384" s="52">
        <v>35</v>
      </c>
    </row>
    <row r="385" spans="1:19">
      <c r="A385" s="3">
        <f t="shared" si="68"/>
        <v>32</v>
      </c>
      <c r="B385" s="3">
        <f t="shared" si="63"/>
        <v>383</v>
      </c>
      <c r="C385" s="40">
        <f t="shared" si="69"/>
        <v>13549607334.625124</v>
      </c>
      <c r="D385" s="41">
        <f>'System Assumptions'!$E$11/12</f>
        <v>75242280</v>
      </c>
      <c r="E385" s="41">
        <f>-'System Assumptions'!$E$10/12</f>
        <v>-133627000</v>
      </c>
      <c r="F385" s="41">
        <f>IF(I384&lt;'System Assumptions'!$E$29,'Hydrological Data Model'!$E$33/12,'Hydrological Data Model'!$E$33/12)</f>
        <v>183636903.52495179</v>
      </c>
      <c r="G385" s="42">
        <f>IF(I384&lt;'System Assumptions'!$E$29,0,-(MIN('Hydrological Data Model'!$E$34,'Hydrological Data Model'!$E$33-'System Assumptions'!$E$12))/12)</f>
        <v>-125252183.52495177</v>
      </c>
      <c r="H385" s="42">
        <f t="shared" si="59"/>
        <v>13549607334.625124</v>
      </c>
      <c r="I385" s="106">
        <f>H385/'System Assumptions'!$F$15</f>
        <v>15.252270619126433</v>
      </c>
      <c r="J385" s="42">
        <f>'System Assumptions'!$E$30+'System Assumptions'!$E$28-'Data Model Calculations'!I385</f>
        <v>64.501329380873571</v>
      </c>
      <c r="K385" s="45">
        <f t="shared" si="70"/>
        <v>54.091913161631638</v>
      </c>
      <c r="L385" s="46">
        <f t="shared" si="71"/>
        <v>732924183318749.25</v>
      </c>
      <c r="M385" s="47">
        <f>D385/1000*('System Assumptions'!$F$20*1000000)</f>
        <v>276691425000.00018</v>
      </c>
      <c r="N385" s="48"/>
      <c r="O385" s="49">
        <f>(F385/1000)*('System Assumptions'!$F$21*1000000)</f>
        <v>6427291623373.3125</v>
      </c>
      <c r="P385" s="49">
        <f t="shared" si="60"/>
        <v>-6775130234536.4404</v>
      </c>
      <c r="Q385" s="48">
        <f t="shared" si="72"/>
        <v>732853036132586</v>
      </c>
      <c r="R385" s="53">
        <f t="shared" si="73"/>
        <v>54.086662294620787</v>
      </c>
      <c r="S385" s="52">
        <v>35</v>
      </c>
    </row>
    <row r="386" spans="1:19">
      <c r="A386" s="3">
        <f t="shared" si="68"/>
        <v>32</v>
      </c>
      <c r="B386" s="3">
        <f t="shared" si="63"/>
        <v>384</v>
      </c>
      <c r="C386" s="40">
        <f t="shared" si="69"/>
        <v>13549607334.625124</v>
      </c>
      <c r="D386" s="41">
        <f>'System Assumptions'!$E$11/12</f>
        <v>75242280</v>
      </c>
      <c r="E386" s="41">
        <f>-'System Assumptions'!$E$10/12</f>
        <v>-133627000</v>
      </c>
      <c r="F386" s="41">
        <f>IF(I385&lt;'System Assumptions'!$E$29,'Hydrological Data Model'!$E$33/12,'Hydrological Data Model'!$E$33/12)</f>
        <v>183636903.52495179</v>
      </c>
      <c r="G386" s="42">
        <f>IF(I385&lt;'System Assumptions'!$E$29,0,-(MIN('Hydrological Data Model'!$E$34,'Hydrological Data Model'!$E$33-'System Assumptions'!$E$12))/12)</f>
        <v>-125252183.52495177</v>
      </c>
      <c r="H386" s="42">
        <f t="shared" si="59"/>
        <v>13549607334.625124</v>
      </c>
      <c r="I386" s="106">
        <f>H386/'System Assumptions'!$F$15</f>
        <v>15.252270619126433</v>
      </c>
      <c r="J386" s="42">
        <f>'System Assumptions'!$E$30+'System Assumptions'!$E$28-'Data Model Calculations'!I386</f>
        <v>64.501329380873571</v>
      </c>
      <c r="K386" s="45">
        <f t="shared" si="70"/>
        <v>54.086662294620787</v>
      </c>
      <c r="L386" s="46">
        <f t="shared" si="71"/>
        <v>732853036132586</v>
      </c>
      <c r="M386" s="47">
        <f>D386/1000*('System Assumptions'!$F$20*1000000)</f>
        <v>276691425000.00018</v>
      </c>
      <c r="N386" s="48"/>
      <c r="O386" s="49">
        <f>(F386/1000)*('System Assumptions'!$F$21*1000000)</f>
        <v>6427291623373.3125</v>
      </c>
      <c r="P386" s="49">
        <f t="shared" si="60"/>
        <v>-6774472551977.9316</v>
      </c>
      <c r="Q386" s="48">
        <f t="shared" si="72"/>
        <v>732782546628981.38</v>
      </c>
      <c r="R386" s="53">
        <f t="shared" si="73"/>
        <v>54.081459966474753</v>
      </c>
      <c r="S386" s="52">
        <v>35</v>
      </c>
    </row>
    <row r="387" spans="1:19">
      <c r="A387" s="3">
        <f t="shared" si="68"/>
        <v>33</v>
      </c>
      <c r="B387" s="3">
        <f t="shared" si="63"/>
        <v>385</v>
      </c>
      <c r="C387" s="40">
        <f t="shared" si="69"/>
        <v>13549607334.625124</v>
      </c>
      <c r="D387" s="41">
        <f>'System Assumptions'!$E$11/12</f>
        <v>75242280</v>
      </c>
      <c r="E387" s="41">
        <f>-'System Assumptions'!$E$10/12</f>
        <v>-133627000</v>
      </c>
      <c r="F387" s="41">
        <f>IF(I386&lt;'System Assumptions'!$E$29,'Hydrological Data Model'!$E$33/12,'Hydrological Data Model'!$E$33/12)</f>
        <v>183636903.52495179</v>
      </c>
      <c r="G387" s="42">
        <f>IF(I386&lt;'System Assumptions'!$E$29,0,-(MIN('Hydrological Data Model'!$E$34,'Hydrological Data Model'!$E$33-'System Assumptions'!$E$12))/12)</f>
        <v>-125252183.52495177</v>
      </c>
      <c r="H387" s="42">
        <f t="shared" ref="H387:H450" si="74">SUM(C387:G387)</f>
        <v>13549607334.625124</v>
      </c>
      <c r="I387" s="106">
        <f>H387/'System Assumptions'!$F$15</f>
        <v>15.252270619126433</v>
      </c>
      <c r="J387" s="42">
        <f>'System Assumptions'!$E$30+'System Assumptions'!$E$28-'Data Model Calculations'!I387</f>
        <v>64.501329380873571</v>
      </c>
      <c r="K387" s="45">
        <f t="shared" si="70"/>
        <v>54.081459966474753</v>
      </c>
      <c r="L387" s="46">
        <f t="shared" si="71"/>
        <v>732782546628981.38</v>
      </c>
      <c r="M387" s="47">
        <f>D387/1000*('System Assumptions'!$F$20*1000000)</f>
        <v>276691425000.00018</v>
      </c>
      <c r="N387" s="48"/>
      <c r="O387" s="49">
        <f>(F387/1000)*('System Assumptions'!$F$21*1000000)</f>
        <v>6427291623373.3125</v>
      </c>
      <c r="P387" s="49">
        <f t="shared" ref="P387:P450" si="75">(G387*1000000)*K387/1000</f>
        <v>-6773820949018.2275</v>
      </c>
      <c r="Q387" s="48">
        <f t="shared" si="72"/>
        <v>732712708728336.5</v>
      </c>
      <c r="R387" s="53">
        <f t="shared" si="73"/>
        <v>54.076305728501644</v>
      </c>
      <c r="S387" s="52">
        <v>35</v>
      </c>
    </row>
    <row r="388" spans="1:19">
      <c r="A388" s="3">
        <f t="shared" si="68"/>
        <v>33</v>
      </c>
      <c r="B388" s="3">
        <f t="shared" si="63"/>
        <v>386</v>
      </c>
      <c r="C388" s="40">
        <f t="shared" si="69"/>
        <v>13549607334.625124</v>
      </c>
      <c r="D388" s="41">
        <f>'System Assumptions'!$E$11/12</f>
        <v>75242280</v>
      </c>
      <c r="E388" s="41">
        <f>-'System Assumptions'!$E$10/12</f>
        <v>-133627000</v>
      </c>
      <c r="F388" s="41">
        <f>IF(I387&lt;'System Assumptions'!$E$29,'Hydrological Data Model'!$E$33/12,'Hydrological Data Model'!$E$33/12)</f>
        <v>183636903.52495179</v>
      </c>
      <c r="G388" s="42">
        <f>IF(I387&lt;'System Assumptions'!$E$29,0,-(MIN('Hydrological Data Model'!$E$34,'Hydrological Data Model'!$E$33-'System Assumptions'!$E$12))/12)</f>
        <v>-125252183.52495177</v>
      </c>
      <c r="H388" s="42">
        <f t="shared" si="74"/>
        <v>13549607334.625124</v>
      </c>
      <c r="I388" s="106">
        <f>H388/'System Assumptions'!$F$15</f>
        <v>15.252270619126433</v>
      </c>
      <c r="J388" s="42">
        <f>'System Assumptions'!$E$30+'System Assumptions'!$E$28-'Data Model Calculations'!I388</f>
        <v>64.501329380873571</v>
      </c>
      <c r="K388" s="45">
        <f t="shared" si="70"/>
        <v>54.076305728501644</v>
      </c>
      <c r="L388" s="46">
        <f t="shared" si="71"/>
        <v>732712708728336.5</v>
      </c>
      <c r="M388" s="47">
        <f>D388/1000*('System Assumptions'!$F$20*1000000)</f>
        <v>276691425000.00018</v>
      </c>
      <c r="N388" s="48"/>
      <c r="O388" s="49">
        <f>(F388/1000)*('System Assumptions'!$F$21*1000000)</f>
        <v>6427291623373.3125</v>
      </c>
      <c r="P388" s="49">
        <f t="shared" si="75"/>
        <v>-6773175369457.6885</v>
      </c>
      <c r="Q388" s="48">
        <f t="shared" si="72"/>
        <v>732643516407252</v>
      </c>
      <c r="R388" s="53">
        <f t="shared" si="73"/>
        <v>54.071199136157254</v>
      </c>
      <c r="S388" s="52">
        <v>35</v>
      </c>
    </row>
    <row r="389" spans="1:19">
      <c r="A389" s="3">
        <f t="shared" si="68"/>
        <v>33</v>
      </c>
      <c r="B389" s="3">
        <f t="shared" si="63"/>
        <v>387</v>
      </c>
      <c r="C389" s="40">
        <f t="shared" si="69"/>
        <v>13549607334.625124</v>
      </c>
      <c r="D389" s="41">
        <f>'System Assumptions'!$E$11/12</f>
        <v>75242280</v>
      </c>
      <c r="E389" s="41">
        <f>-'System Assumptions'!$E$10/12</f>
        <v>-133627000</v>
      </c>
      <c r="F389" s="41">
        <f>IF(I388&lt;'System Assumptions'!$E$29,'Hydrological Data Model'!$E$33/12,'Hydrological Data Model'!$E$33/12)</f>
        <v>183636903.52495179</v>
      </c>
      <c r="G389" s="42">
        <f>IF(I388&lt;'System Assumptions'!$E$29,0,-(MIN('Hydrological Data Model'!$E$34,'Hydrological Data Model'!$E$33-'System Assumptions'!$E$12))/12)</f>
        <v>-125252183.52495177</v>
      </c>
      <c r="H389" s="42">
        <f t="shared" si="74"/>
        <v>13549607334.625124</v>
      </c>
      <c r="I389" s="106">
        <f>H389/'System Assumptions'!$F$15</f>
        <v>15.252270619126433</v>
      </c>
      <c r="J389" s="42">
        <f>'System Assumptions'!$E$30+'System Assumptions'!$E$28-'Data Model Calculations'!I389</f>
        <v>64.501329380873571</v>
      </c>
      <c r="K389" s="45">
        <f t="shared" si="70"/>
        <v>54.071199136157254</v>
      </c>
      <c r="L389" s="46">
        <f t="shared" si="71"/>
        <v>732643516407252</v>
      </c>
      <c r="M389" s="47">
        <f>D389/1000*('System Assumptions'!$F$20*1000000)</f>
        <v>276691425000.00018</v>
      </c>
      <c r="N389" s="48"/>
      <c r="O389" s="49">
        <f>(F389/1000)*('System Assumptions'!$F$21*1000000)</f>
        <v>6427291623373.3125</v>
      </c>
      <c r="P389" s="49">
        <f t="shared" si="75"/>
        <v>-6772535757616.1816</v>
      </c>
      <c r="Q389" s="48">
        <f t="shared" si="72"/>
        <v>732574963698009.13</v>
      </c>
      <c r="R389" s="53">
        <f t="shared" si="73"/>
        <v>54.066139749006773</v>
      </c>
      <c r="S389" s="52">
        <v>35</v>
      </c>
    </row>
    <row r="390" spans="1:19">
      <c r="A390" s="3">
        <f t="shared" si="68"/>
        <v>33</v>
      </c>
      <c r="B390" s="3">
        <f t="shared" si="63"/>
        <v>388</v>
      </c>
      <c r="C390" s="40">
        <f t="shared" si="69"/>
        <v>13549607334.625124</v>
      </c>
      <c r="D390" s="41">
        <f>'System Assumptions'!$E$11/12</f>
        <v>75242280</v>
      </c>
      <c r="E390" s="41">
        <f>-'System Assumptions'!$E$10/12</f>
        <v>-133627000</v>
      </c>
      <c r="F390" s="41">
        <f>IF(I389&lt;'System Assumptions'!$E$29,'Hydrological Data Model'!$E$33/12,'Hydrological Data Model'!$E$33/12)</f>
        <v>183636903.52495179</v>
      </c>
      <c r="G390" s="42">
        <f>IF(I389&lt;'System Assumptions'!$E$29,0,-(MIN('Hydrological Data Model'!$E$34,'Hydrological Data Model'!$E$33-'System Assumptions'!$E$12))/12)</f>
        <v>-125252183.52495177</v>
      </c>
      <c r="H390" s="42">
        <f t="shared" si="74"/>
        <v>13549607334.625124</v>
      </c>
      <c r="I390" s="106">
        <f>H390/'System Assumptions'!$F$15</f>
        <v>15.252270619126433</v>
      </c>
      <c r="J390" s="42">
        <f>'System Assumptions'!$E$30+'System Assumptions'!$E$28-'Data Model Calculations'!I390</f>
        <v>64.501329380873571</v>
      </c>
      <c r="K390" s="45">
        <f t="shared" si="70"/>
        <v>54.066139749006773</v>
      </c>
      <c r="L390" s="46">
        <f t="shared" si="71"/>
        <v>732574963698009.13</v>
      </c>
      <c r="M390" s="47">
        <f>D390/1000*('System Assumptions'!$F$20*1000000)</f>
        <v>276691425000.00018</v>
      </c>
      <c r="N390" s="48"/>
      <c r="O390" s="49">
        <f>(F390/1000)*('System Assumptions'!$F$21*1000000)</f>
        <v>6427291623373.3125</v>
      </c>
      <c r="P390" s="49">
        <f t="shared" si="75"/>
        <v>-6771902058328.2861</v>
      </c>
      <c r="Q390" s="48">
        <f t="shared" si="72"/>
        <v>732507044688054.25</v>
      </c>
      <c r="R390" s="53">
        <f t="shared" si="73"/>
        <v>54.061127130686735</v>
      </c>
      <c r="S390" s="52">
        <v>35</v>
      </c>
    </row>
    <row r="391" spans="1:19">
      <c r="A391" s="3">
        <f t="shared" si="68"/>
        <v>33</v>
      </c>
      <c r="B391" s="3">
        <f t="shared" si="63"/>
        <v>389</v>
      </c>
      <c r="C391" s="40">
        <f t="shared" si="69"/>
        <v>13549607334.625124</v>
      </c>
      <c r="D391" s="41">
        <f>'System Assumptions'!$E$11/12</f>
        <v>75242280</v>
      </c>
      <c r="E391" s="41">
        <f>-'System Assumptions'!$E$10/12</f>
        <v>-133627000</v>
      </c>
      <c r="F391" s="41">
        <f>IF(I390&lt;'System Assumptions'!$E$29,'Hydrological Data Model'!$E$33/12,'Hydrological Data Model'!$E$33/12)</f>
        <v>183636903.52495179</v>
      </c>
      <c r="G391" s="42">
        <f>IF(I390&lt;'System Assumptions'!$E$29,0,-(MIN('Hydrological Data Model'!$E$34,'Hydrological Data Model'!$E$33-'System Assumptions'!$E$12))/12)</f>
        <v>-125252183.52495177</v>
      </c>
      <c r="H391" s="42">
        <f t="shared" si="74"/>
        <v>13549607334.625124</v>
      </c>
      <c r="I391" s="106">
        <f>H391/'System Assumptions'!$F$15</f>
        <v>15.252270619126433</v>
      </c>
      <c r="J391" s="42">
        <f>'System Assumptions'!$E$30+'System Assumptions'!$E$28-'Data Model Calculations'!I391</f>
        <v>64.501329380873571</v>
      </c>
      <c r="K391" s="45">
        <f t="shared" si="70"/>
        <v>54.061127130686735</v>
      </c>
      <c r="L391" s="46">
        <f t="shared" si="71"/>
        <v>732507044688054.25</v>
      </c>
      <c r="M391" s="47">
        <f>D391/1000*('System Assumptions'!$F$20*1000000)</f>
        <v>276691425000.00018</v>
      </c>
      <c r="N391" s="48"/>
      <c r="O391" s="49">
        <f>(F391/1000)*('System Assumptions'!$F$21*1000000)</f>
        <v>6427291623373.3125</v>
      </c>
      <c r="P391" s="49">
        <f t="shared" si="75"/>
        <v>-6771274216938.5244</v>
      </c>
      <c r="Q391" s="48">
        <f t="shared" si="72"/>
        <v>732439753519489</v>
      </c>
      <c r="R391" s="53">
        <f t="shared" si="73"/>
        <v>54.056160848867385</v>
      </c>
      <c r="S391" s="52">
        <v>35</v>
      </c>
    </row>
    <row r="392" spans="1:19">
      <c r="A392" s="3">
        <f t="shared" si="68"/>
        <v>33</v>
      </c>
      <c r="B392" s="3">
        <f t="shared" si="63"/>
        <v>390</v>
      </c>
      <c r="C392" s="40">
        <f t="shared" si="69"/>
        <v>13549607334.625124</v>
      </c>
      <c r="D392" s="41">
        <f>'System Assumptions'!$E$11/12</f>
        <v>75242280</v>
      </c>
      <c r="E392" s="41">
        <f>-'System Assumptions'!$E$10/12</f>
        <v>-133627000</v>
      </c>
      <c r="F392" s="41">
        <f>IF(I391&lt;'System Assumptions'!$E$29,'Hydrological Data Model'!$E$33/12,'Hydrological Data Model'!$E$33/12)</f>
        <v>183636903.52495179</v>
      </c>
      <c r="G392" s="42">
        <f>IF(I391&lt;'System Assumptions'!$E$29,0,-(MIN('Hydrological Data Model'!$E$34,'Hydrological Data Model'!$E$33-'System Assumptions'!$E$12))/12)</f>
        <v>-125252183.52495177</v>
      </c>
      <c r="H392" s="42">
        <f t="shared" si="74"/>
        <v>13549607334.625124</v>
      </c>
      <c r="I392" s="106">
        <f>H392/'System Assumptions'!$F$15</f>
        <v>15.252270619126433</v>
      </c>
      <c r="J392" s="42">
        <f>'System Assumptions'!$E$30+'System Assumptions'!$E$28-'Data Model Calculations'!I392</f>
        <v>64.501329380873571</v>
      </c>
      <c r="K392" s="45">
        <f t="shared" si="70"/>
        <v>54.056160848867385</v>
      </c>
      <c r="L392" s="46">
        <f t="shared" si="71"/>
        <v>732439753519489</v>
      </c>
      <c r="M392" s="47">
        <f>D392/1000*('System Assumptions'!$F$20*1000000)</f>
        <v>276691425000.00018</v>
      </c>
      <c r="N392" s="48"/>
      <c r="O392" s="49">
        <f>(F392/1000)*('System Assumptions'!$F$21*1000000)</f>
        <v>6427291623373.3125</v>
      </c>
      <c r="P392" s="49">
        <f t="shared" si="75"/>
        <v>-6770652179296.6504</v>
      </c>
      <c r="Q392" s="48">
        <f t="shared" si="72"/>
        <v>732373084388565.63</v>
      </c>
      <c r="R392" s="53">
        <f t="shared" si="73"/>
        <v>54.051240475215451</v>
      </c>
      <c r="S392" s="52">
        <v>35</v>
      </c>
    </row>
    <row r="393" spans="1:19">
      <c r="A393" s="3">
        <f t="shared" si="68"/>
        <v>33</v>
      </c>
      <c r="B393" s="3">
        <f t="shared" si="63"/>
        <v>391</v>
      </c>
      <c r="C393" s="40">
        <f t="shared" si="69"/>
        <v>13549607334.625124</v>
      </c>
      <c r="D393" s="41">
        <f>'System Assumptions'!$E$11/12</f>
        <v>75242280</v>
      </c>
      <c r="E393" s="41">
        <f>-'System Assumptions'!$E$10/12</f>
        <v>-133627000</v>
      </c>
      <c r="F393" s="41">
        <f>IF(I392&lt;'System Assumptions'!$E$29,'Hydrological Data Model'!$E$33/12,'Hydrological Data Model'!$E$33/12)</f>
        <v>183636903.52495179</v>
      </c>
      <c r="G393" s="42">
        <f>IF(I392&lt;'System Assumptions'!$E$29,0,-(MIN('Hydrological Data Model'!$E$34,'Hydrological Data Model'!$E$33-'System Assumptions'!$E$12))/12)</f>
        <v>-125252183.52495177</v>
      </c>
      <c r="H393" s="42">
        <f t="shared" si="74"/>
        <v>13549607334.625124</v>
      </c>
      <c r="I393" s="106">
        <f>H393/'System Assumptions'!$F$15</f>
        <v>15.252270619126433</v>
      </c>
      <c r="J393" s="42">
        <f>'System Assumptions'!$E$30+'System Assumptions'!$E$28-'Data Model Calculations'!I393</f>
        <v>64.501329380873571</v>
      </c>
      <c r="K393" s="45">
        <f t="shared" si="70"/>
        <v>54.051240475215451</v>
      </c>
      <c r="L393" s="46">
        <f t="shared" si="71"/>
        <v>732373084388565.63</v>
      </c>
      <c r="M393" s="47">
        <f>D393/1000*('System Assumptions'!$F$20*1000000)</f>
        <v>276691425000.00018</v>
      </c>
      <c r="N393" s="48"/>
      <c r="O393" s="49">
        <f>(F393/1000)*('System Assumptions'!$F$21*1000000)</f>
        <v>6427291623373.3125</v>
      </c>
      <c r="P393" s="49">
        <f t="shared" si="75"/>
        <v>-6770035891752.9873</v>
      </c>
      <c r="Q393" s="48">
        <f t="shared" si="72"/>
        <v>732307031545186</v>
      </c>
      <c r="R393" s="53">
        <f t="shared" si="73"/>
        <v>54.046365585357144</v>
      </c>
      <c r="S393" s="52">
        <v>35</v>
      </c>
    </row>
    <row r="394" spans="1:19">
      <c r="A394" s="3">
        <f t="shared" si="68"/>
        <v>33</v>
      </c>
      <c r="B394" s="3">
        <f t="shared" si="63"/>
        <v>392</v>
      </c>
      <c r="C394" s="40">
        <f t="shared" si="69"/>
        <v>13549607334.625124</v>
      </c>
      <c r="D394" s="41">
        <f>'System Assumptions'!$E$11/12</f>
        <v>75242280</v>
      </c>
      <c r="E394" s="41">
        <f>-'System Assumptions'!$E$10/12</f>
        <v>-133627000</v>
      </c>
      <c r="F394" s="41">
        <f>IF(I393&lt;'System Assumptions'!$E$29,'Hydrological Data Model'!$E$33/12,'Hydrological Data Model'!$E$33/12)</f>
        <v>183636903.52495179</v>
      </c>
      <c r="G394" s="42">
        <f>IF(I393&lt;'System Assumptions'!$E$29,0,-(MIN('Hydrological Data Model'!$E$34,'Hydrological Data Model'!$E$33-'System Assumptions'!$E$12))/12)</f>
        <v>-125252183.52495177</v>
      </c>
      <c r="H394" s="42">
        <f t="shared" si="74"/>
        <v>13549607334.625124</v>
      </c>
      <c r="I394" s="106">
        <f>H394/'System Assumptions'!$F$15</f>
        <v>15.252270619126433</v>
      </c>
      <c r="J394" s="42">
        <f>'System Assumptions'!$E$30+'System Assumptions'!$E$28-'Data Model Calculations'!I394</f>
        <v>64.501329380873571</v>
      </c>
      <c r="K394" s="45">
        <f t="shared" si="70"/>
        <v>54.046365585357144</v>
      </c>
      <c r="L394" s="46">
        <f t="shared" si="71"/>
        <v>732307031545186</v>
      </c>
      <c r="M394" s="47">
        <f>D394/1000*('System Assumptions'!$F$20*1000000)</f>
        <v>276691425000.00018</v>
      </c>
      <c r="N394" s="48"/>
      <c r="O394" s="49">
        <f>(F394/1000)*('System Assumptions'!$F$21*1000000)</f>
        <v>6427291623373.3125</v>
      </c>
      <c r="P394" s="49">
        <f t="shared" si="75"/>
        <v>-6769425301153.79</v>
      </c>
      <c r="Q394" s="48">
        <f t="shared" si="72"/>
        <v>732241589292405.5</v>
      </c>
      <c r="R394" s="53">
        <f t="shared" si="73"/>
        <v>54.041535758841562</v>
      </c>
      <c r="S394" s="52">
        <v>35</v>
      </c>
    </row>
    <row r="395" spans="1:19">
      <c r="A395" s="3">
        <f t="shared" si="68"/>
        <v>33</v>
      </c>
      <c r="B395" s="3">
        <f t="shared" si="63"/>
        <v>393</v>
      </c>
      <c r="C395" s="40">
        <f t="shared" si="69"/>
        <v>13549607334.625124</v>
      </c>
      <c r="D395" s="41">
        <f>'System Assumptions'!$E$11/12</f>
        <v>75242280</v>
      </c>
      <c r="E395" s="41">
        <f>-'System Assumptions'!$E$10/12</f>
        <v>-133627000</v>
      </c>
      <c r="F395" s="41">
        <f>IF(I394&lt;'System Assumptions'!$E$29,'Hydrological Data Model'!$E$33/12,'Hydrological Data Model'!$E$33/12)</f>
        <v>183636903.52495179</v>
      </c>
      <c r="G395" s="42">
        <f>IF(I394&lt;'System Assumptions'!$E$29,0,-(MIN('Hydrological Data Model'!$E$34,'Hydrological Data Model'!$E$33-'System Assumptions'!$E$12))/12)</f>
        <v>-125252183.52495177</v>
      </c>
      <c r="H395" s="42">
        <f t="shared" si="74"/>
        <v>13549607334.625124</v>
      </c>
      <c r="I395" s="106">
        <f>H395/'System Assumptions'!$F$15</f>
        <v>15.252270619126433</v>
      </c>
      <c r="J395" s="42">
        <f>'System Assumptions'!$E$30+'System Assumptions'!$E$28-'Data Model Calculations'!I395</f>
        <v>64.501329380873571</v>
      </c>
      <c r="K395" s="45">
        <f t="shared" si="70"/>
        <v>54.041535758841562</v>
      </c>
      <c r="L395" s="46">
        <f t="shared" si="71"/>
        <v>732241589292405.5</v>
      </c>
      <c r="M395" s="47">
        <f>D395/1000*('System Assumptions'!$F$20*1000000)</f>
        <v>276691425000.00018</v>
      </c>
      <c r="N395" s="48"/>
      <c r="O395" s="49">
        <f>(F395/1000)*('System Assumptions'!$F$21*1000000)</f>
        <v>6427291623373.3125</v>
      </c>
      <c r="P395" s="49">
        <f t="shared" si="75"/>
        <v>-6768820354836.667</v>
      </c>
      <c r="Q395" s="48">
        <f t="shared" si="72"/>
        <v>732176751985942.13</v>
      </c>
      <c r="R395" s="53">
        <f t="shared" si="73"/>
        <v>54.036750579104456</v>
      </c>
      <c r="S395" s="52">
        <v>35</v>
      </c>
    </row>
    <row r="396" spans="1:19">
      <c r="A396" s="3">
        <f t="shared" si="68"/>
        <v>33</v>
      </c>
      <c r="B396" s="3">
        <f t="shared" si="63"/>
        <v>394</v>
      </c>
      <c r="C396" s="40">
        <f t="shared" si="69"/>
        <v>13549607334.625124</v>
      </c>
      <c r="D396" s="41">
        <f>'System Assumptions'!$E$11/12</f>
        <v>75242280</v>
      </c>
      <c r="E396" s="41">
        <f>-'System Assumptions'!$E$10/12</f>
        <v>-133627000</v>
      </c>
      <c r="F396" s="41">
        <f>IF(I395&lt;'System Assumptions'!$E$29,'Hydrological Data Model'!$E$33/12,'Hydrological Data Model'!$E$33/12)</f>
        <v>183636903.52495179</v>
      </c>
      <c r="G396" s="42">
        <f>IF(I395&lt;'System Assumptions'!$E$29,0,-(MIN('Hydrological Data Model'!$E$34,'Hydrological Data Model'!$E$33-'System Assumptions'!$E$12))/12)</f>
        <v>-125252183.52495177</v>
      </c>
      <c r="H396" s="42">
        <f t="shared" si="74"/>
        <v>13549607334.625124</v>
      </c>
      <c r="I396" s="106">
        <f>H396/'System Assumptions'!$F$15</f>
        <v>15.252270619126433</v>
      </c>
      <c r="J396" s="42">
        <f>'System Assumptions'!$E$30+'System Assumptions'!$E$28-'Data Model Calculations'!I396</f>
        <v>64.501329380873571</v>
      </c>
      <c r="K396" s="45">
        <f t="shared" si="70"/>
        <v>54.036750579104456</v>
      </c>
      <c r="L396" s="46">
        <f t="shared" si="71"/>
        <v>732176751985942.13</v>
      </c>
      <c r="M396" s="47">
        <f>D396/1000*('System Assumptions'!$F$20*1000000)</f>
        <v>276691425000.00018</v>
      </c>
      <c r="N396" s="48"/>
      <c r="O396" s="49">
        <f>(F396/1000)*('System Assumptions'!$F$21*1000000)</f>
        <v>6427291623373.3125</v>
      </c>
      <c r="P396" s="49">
        <f t="shared" si="75"/>
        <v>-6768221000626.0352</v>
      </c>
      <c r="Q396" s="48">
        <f t="shared" si="72"/>
        <v>732112514033689.5</v>
      </c>
      <c r="R396" s="53">
        <f t="shared" si="73"/>
        <v>54.032009633432288</v>
      </c>
      <c r="S396" s="52">
        <v>35</v>
      </c>
    </row>
    <row r="397" spans="1:19">
      <c r="A397" s="3">
        <f t="shared" si="68"/>
        <v>33</v>
      </c>
      <c r="B397" s="3">
        <f t="shared" si="63"/>
        <v>395</v>
      </c>
      <c r="C397" s="40">
        <f t="shared" si="69"/>
        <v>13549607334.625124</v>
      </c>
      <c r="D397" s="41">
        <f>'System Assumptions'!$E$11/12</f>
        <v>75242280</v>
      </c>
      <c r="E397" s="41">
        <f>-'System Assumptions'!$E$10/12</f>
        <v>-133627000</v>
      </c>
      <c r="F397" s="41">
        <f>IF(I396&lt;'System Assumptions'!$E$29,'Hydrological Data Model'!$E$33/12,'Hydrological Data Model'!$E$33/12)</f>
        <v>183636903.52495179</v>
      </c>
      <c r="G397" s="42">
        <f>IF(I396&lt;'System Assumptions'!$E$29,0,-(MIN('Hydrological Data Model'!$E$34,'Hydrological Data Model'!$E$33-'System Assumptions'!$E$12))/12)</f>
        <v>-125252183.52495177</v>
      </c>
      <c r="H397" s="42">
        <f t="shared" si="74"/>
        <v>13549607334.625124</v>
      </c>
      <c r="I397" s="106">
        <f>H397/'System Assumptions'!$F$15</f>
        <v>15.252270619126433</v>
      </c>
      <c r="J397" s="42">
        <f>'System Assumptions'!$E$30+'System Assumptions'!$E$28-'Data Model Calculations'!I397</f>
        <v>64.501329380873571</v>
      </c>
      <c r="K397" s="45">
        <f t="shared" si="70"/>
        <v>54.032009633432288</v>
      </c>
      <c r="L397" s="46">
        <f t="shared" si="71"/>
        <v>732112514033689.5</v>
      </c>
      <c r="M397" s="47">
        <f>D397/1000*('System Assumptions'!$F$20*1000000)</f>
        <v>276691425000.00018</v>
      </c>
      <c r="N397" s="48"/>
      <c r="O397" s="49">
        <f>(F397/1000)*('System Assumptions'!$F$21*1000000)</f>
        <v>6427291623373.3125</v>
      </c>
      <c r="P397" s="49">
        <f t="shared" si="75"/>
        <v>-6767627186828.623</v>
      </c>
      <c r="Q397" s="48">
        <f t="shared" si="72"/>
        <v>732048869895234.13</v>
      </c>
      <c r="R397" s="53">
        <f t="shared" si="73"/>
        <v>54.027312512926613</v>
      </c>
      <c r="S397" s="52">
        <v>35</v>
      </c>
    </row>
    <row r="398" spans="1:19">
      <c r="A398" s="3">
        <f t="shared" si="68"/>
        <v>33</v>
      </c>
      <c r="B398" s="3">
        <f t="shared" si="63"/>
        <v>396</v>
      </c>
      <c r="C398" s="40">
        <f t="shared" si="69"/>
        <v>13549607334.625124</v>
      </c>
      <c r="D398" s="41">
        <f>'System Assumptions'!$E$11/12</f>
        <v>75242280</v>
      </c>
      <c r="E398" s="41">
        <f>-'System Assumptions'!$E$10/12</f>
        <v>-133627000</v>
      </c>
      <c r="F398" s="41">
        <f>IF(I397&lt;'System Assumptions'!$E$29,'Hydrological Data Model'!$E$33/12,'Hydrological Data Model'!$E$33/12)</f>
        <v>183636903.52495179</v>
      </c>
      <c r="G398" s="42">
        <f>IF(I397&lt;'System Assumptions'!$E$29,0,-(MIN('Hydrological Data Model'!$E$34,'Hydrological Data Model'!$E$33-'System Assumptions'!$E$12))/12)</f>
        <v>-125252183.52495177</v>
      </c>
      <c r="H398" s="42">
        <f t="shared" si="74"/>
        <v>13549607334.625124</v>
      </c>
      <c r="I398" s="106">
        <f>H398/'System Assumptions'!$F$15</f>
        <v>15.252270619126433</v>
      </c>
      <c r="J398" s="42">
        <f>'System Assumptions'!$E$30+'System Assumptions'!$E$28-'Data Model Calculations'!I398</f>
        <v>64.501329380873571</v>
      </c>
      <c r="K398" s="45">
        <f t="shared" si="70"/>
        <v>54.027312512926613</v>
      </c>
      <c r="L398" s="46">
        <f t="shared" si="71"/>
        <v>732048869895234.13</v>
      </c>
      <c r="M398" s="47">
        <f>D398/1000*('System Assumptions'!$F$20*1000000)</f>
        <v>276691425000.00018</v>
      </c>
      <c r="N398" s="48"/>
      <c r="O398" s="49">
        <f>(F398/1000)*('System Assumptions'!$F$21*1000000)</f>
        <v>6427291623373.3125</v>
      </c>
      <c r="P398" s="49">
        <f t="shared" si="75"/>
        <v>-6767038862229.0068</v>
      </c>
      <c r="Q398" s="48">
        <f t="shared" si="72"/>
        <v>731985814081378.5</v>
      </c>
      <c r="R398" s="53">
        <f t="shared" si="73"/>
        <v>54.022658812468855</v>
      </c>
      <c r="S398" s="52">
        <v>35</v>
      </c>
    </row>
    <row r="399" spans="1:19">
      <c r="A399" s="3">
        <f t="shared" si="68"/>
        <v>34</v>
      </c>
      <c r="B399" s="3">
        <f t="shared" si="63"/>
        <v>397</v>
      </c>
      <c r="C399" s="40">
        <f t="shared" si="69"/>
        <v>13549607334.625124</v>
      </c>
      <c r="D399" s="41">
        <f>'System Assumptions'!$E$11/12</f>
        <v>75242280</v>
      </c>
      <c r="E399" s="41">
        <f>-'System Assumptions'!$E$10/12</f>
        <v>-133627000</v>
      </c>
      <c r="F399" s="41">
        <f>IF(I398&lt;'System Assumptions'!$E$29,'Hydrological Data Model'!$E$33/12,'Hydrological Data Model'!$E$33/12)</f>
        <v>183636903.52495179</v>
      </c>
      <c r="G399" s="42">
        <f>IF(I398&lt;'System Assumptions'!$E$29,0,-(MIN('Hydrological Data Model'!$E$34,'Hydrological Data Model'!$E$33-'System Assumptions'!$E$12))/12)</f>
        <v>-125252183.52495177</v>
      </c>
      <c r="H399" s="42">
        <f t="shared" si="74"/>
        <v>13549607334.625124</v>
      </c>
      <c r="I399" s="106">
        <f>H399/'System Assumptions'!$F$15</f>
        <v>15.252270619126433</v>
      </c>
      <c r="J399" s="42">
        <f>'System Assumptions'!$E$30+'System Assumptions'!$E$28-'Data Model Calculations'!I399</f>
        <v>64.501329380873571</v>
      </c>
      <c r="K399" s="45">
        <f t="shared" si="70"/>
        <v>54.022658812468855</v>
      </c>
      <c r="L399" s="46">
        <f t="shared" si="71"/>
        <v>731985814081378.5</v>
      </c>
      <c r="M399" s="47">
        <f>D399/1000*('System Assumptions'!$F$20*1000000)</f>
        <v>276691425000.00018</v>
      </c>
      <c r="N399" s="48"/>
      <c r="O399" s="49">
        <f>(F399/1000)*('System Assumptions'!$F$21*1000000)</f>
        <v>6427291623373.3125</v>
      </c>
      <c r="P399" s="49">
        <f t="shared" si="75"/>
        <v>-6766455976085.2021</v>
      </c>
      <c r="Q399" s="48">
        <f t="shared" si="72"/>
        <v>731923341153666.5</v>
      </c>
      <c r="R399" s="53">
        <f t="shared" si="73"/>
        <v>54.018048130685301</v>
      </c>
      <c r="S399" s="52">
        <v>35</v>
      </c>
    </row>
    <row r="400" spans="1:19">
      <c r="A400" s="3">
        <f t="shared" si="68"/>
        <v>34</v>
      </c>
      <c r="B400" s="3">
        <f t="shared" ref="B400:B463" si="76">B399+1</f>
        <v>398</v>
      </c>
      <c r="C400" s="40">
        <f t="shared" si="69"/>
        <v>13549607334.625124</v>
      </c>
      <c r="D400" s="41">
        <f>'System Assumptions'!$E$11/12</f>
        <v>75242280</v>
      </c>
      <c r="E400" s="41">
        <f>-'System Assumptions'!$E$10/12</f>
        <v>-133627000</v>
      </c>
      <c r="F400" s="41">
        <f>IF(I399&lt;'System Assumptions'!$E$29,'Hydrological Data Model'!$E$33/12,'Hydrological Data Model'!$E$33/12)</f>
        <v>183636903.52495179</v>
      </c>
      <c r="G400" s="42">
        <f>IF(I399&lt;'System Assumptions'!$E$29,0,-(MIN('Hydrological Data Model'!$E$34,'Hydrological Data Model'!$E$33-'System Assumptions'!$E$12))/12)</f>
        <v>-125252183.52495177</v>
      </c>
      <c r="H400" s="42">
        <f t="shared" si="74"/>
        <v>13549607334.625124</v>
      </c>
      <c r="I400" s="106">
        <f>H400/'System Assumptions'!$F$15</f>
        <v>15.252270619126433</v>
      </c>
      <c r="J400" s="42">
        <f>'System Assumptions'!$E$30+'System Assumptions'!$E$28-'Data Model Calculations'!I400</f>
        <v>64.501329380873571</v>
      </c>
      <c r="K400" s="45">
        <f t="shared" si="70"/>
        <v>54.018048130685301</v>
      </c>
      <c r="L400" s="46">
        <f t="shared" si="71"/>
        <v>731923341153666.5</v>
      </c>
      <c r="M400" s="47">
        <f>D400/1000*('System Assumptions'!$F$20*1000000)</f>
        <v>276691425000.00018</v>
      </c>
      <c r="N400" s="48"/>
      <c r="O400" s="49">
        <f>(F400/1000)*('System Assumptions'!$F$21*1000000)</f>
        <v>6427291623373.3125</v>
      </c>
      <c r="P400" s="49">
        <f t="shared" si="75"/>
        <v>-6765878478124.2734</v>
      </c>
      <c r="Q400" s="48">
        <f t="shared" si="72"/>
        <v>731861445723915.5</v>
      </c>
      <c r="R400" s="53">
        <f t="shared" si="73"/>
        <v>54.013480069912582</v>
      </c>
      <c r="S400" s="52">
        <v>35</v>
      </c>
    </row>
    <row r="401" spans="1:19">
      <c r="A401" s="3">
        <f t="shared" si="68"/>
        <v>34</v>
      </c>
      <c r="B401" s="3">
        <f t="shared" si="76"/>
        <v>399</v>
      </c>
      <c r="C401" s="40">
        <f t="shared" si="69"/>
        <v>13549607334.625124</v>
      </c>
      <c r="D401" s="41">
        <f>'System Assumptions'!$E$11/12</f>
        <v>75242280</v>
      </c>
      <c r="E401" s="41">
        <f>-'System Assumptions'!$E$10/12</f>
        <v>-133627000</v>
      </c>
      <c r="F401" s="41">
        <f>IF(I400&lt;'System Assumptions'!$E$29,'Hydrological Data Model'!$E$33/12,'Hydrological Data Model'!$E$33/12)</f>
        <v>183636903.52495179</v>
      </c>
      <c r="G401" s="42">
        <f>IF(I400&lt;'System Assumptions'!$E$29,0,-(MIN('Hydrological Data Model'!$E$34,'Hydrological Data Model'!$E$33-'System Assumptions'!$E$12))/12)</f>
        <v>-125252183.52495177</v>
      </c>
      <c r="H401" s="42">
        <f t="shared" si="74"/>
        <v>13549607334.625124</v>
      </c>
      <c r="I401" s="106">
        <f>H401/'System Assumptions'!$F$15</f>
        <v>15.252270619126433</v>
      </c>
      <c r="J401" s="42">
        <f>'System Assumptions'!$E$30+'System Assumptions'!$E$28-'Data Model Calculations'!I401</f>
        <v>64.501329380873571</v>
      </c>
      <c r="K401" s="45">
        <f t="shared" si="70"/>
        <v>54.013480069912582</v>
      </c>
      <c r="L401" s="46">
        <f t="shared" si="71"/>
        <v>731861445723915.5</v>
      </c>
      <c r="M401" s="47">
        <f>D401/1000*('System Assumptions'!$F$20*1000000)</f>
        <v>276691425000.00018</v>
      </c>
      <c r="N401" s="48"/>
      <c r="O401" s="49">
        <f>(F401/1000)*('System Assumptions'!$F$21*1000000)</f>
        <v>6427291623373.3125</v>
      </c>
      <c r="P401" s="49">
        <f t="shared" si="75"/>
        <v>-6765306318538.0146</v>
      </c>
      <c r="Q401" s="48">
        <f t="shared" si="72"/>
        <v>731800122453750.75</v>
      </c>
      <c r="R401" s="53">
        <f t="shared" si="73"/>
        <v>54.008954236163291</v>
      </c>
      <c r="S401" s="52">
        <v>35</v>
      </c>
    </row>
    <row r="402" spans="1:19">
      <c r="A402" s="3">
        <f t="shared" si="68"/>
        <v>34</v>
      </c>
      <c r="B402" s="3">
        <f t="shared" si="76"/>
        <v>400</v>
      </c>
      <c r="C402" s="40">
        <f t="shared" si="69"/>
        <v>13549607334.625124</v>
      </c>
      <c r="D402" s="41">
        <f>'System Assumptions'!$E$11/12</f>
        <v>75242280</v>
      </c>
      <c r="E402" s="41">
        <f>-'System Assumptions'!$E$10/12</f>
        <v>-133627000</v>
      </c>
      <c r="F402" s="41">
        <f>IF(I401&lt;'System Assumptions'!$E$29,'Hydrological Data Model'!$E$33/12,'Hydrological Data Model'!$E$33/12)</f>
        <v>183636903.52495179</v>
      </c>
      <c r="G402" s="42">
        <f>IF(I401&lt;'System Assumptions'!$E$29,0,-(MIN('Hydrological Data Model'!$E$34,'Hydrological Data Model'!$E$33-'System Assumptions'!$E$12))/12)</f>
        <v>-125252183.52495177</v>
      </c>
      <c r="H402" s="42">
        <f t="shared" si="74"/>
        <v>13549607334.625124</v>
      </c>
      <c r="I402" s="106">
        <f>H402/'System Assumptions'!$F$15</f>
        <v>15.252270619126433</v>
      </c>
      <c r="J402" s="42">
        <f>'System Assumptions'!$E$30+'System Assumptions'!$E$28-'Data Model Calculations'!I402</f>
        <v>64.501329380873571</v>
      </c>
      <c r="K402" s="45">
        <f t="shared" si="70"/>
        <v>54.008954236163291</v>
      </c>
      <c r="L402" s="46">
        <f t="shared" si="71"/>
        <v>731800122453750.75</v>
      </c>
      <c r="M402" s="47">
        <f>D402/1000*('System Assumptions'!$F$20*1000000)</f>
        <v>276691425000.00018</v>
      </c>
      <c r="N402" s="48"/>
      <c r="O402" s="49">
        <f>(F402/1000)*('System Assumptions'!$F$21*1000000)</f>
        <v>6427291623373.3125</v>
      </c>
      <c r="P402" s="49">
        <f t="shared" si="75"/>
        <v>-6764739447978.6465</v>
      </c>
      <c r="Q402" s="48">
        <f t="shared" si="72"/>
        <v>731739366054145.38</v>
      </c>
      <c r="R402" s="53">
        <f t="shared" si="73"/>
        <v>54.004470239092015</v>
      </c>
      <c r="S402" s="52">
        <v>35</v>
      </c>
    </row>
    <row r="403" spans="1:19">
      <c r="A403" s="3">
        <f t="shared" si="68"/>
        <v>34</v>
      </c>
      <c r="B403" s="3">
        <f t="shared" si="76"/>
        <v>401</v>
      </c>
      <c r="C403" s="40">
        <f t="shared" si="69"/>
        <v>13549607334.625124</v>
      </c>
      <c r="D403" s="41">
        <f>'System Assumptions'!$E$11/12</f>
        <v>75242280</v>
      </c>
      <c r="E403" s="41">
        <f>-'System Assumptions'!$E$10/12</f>
        <v>-133627000</v>
      </c>
      <c r="F403" s="41">
        <f>IF(I402&lt;'System Assumptions'!$E$29,'Hydrological Data Model'!$E$33/12,'Hydrological Data Model'!$E$33/12)</f>
        <v>183636903.52495179</v>
      </c>
      <c r="G403" s="42">
        <f>IF(I402&lt;'System Assumptions'!$E$29,0,-(MIN('Hydrological Data Model'!$E$34,'Hydrological Data Model'!$E$33-'System Assumptions'!$E$12))/12)</f>
        <v>-125252183.52495177</v>
      </c>
      <c r="H403" s="42">
        <f t="shared" si="74"/>
        <v>13549607334.625124</v>
      </c>
      <c r="I403" s="106">
        <f>H403/'System Assumptions'!$F$15</f>
        <v>15.252270619126433</v>
      </c>
      <c r="J403" s="42">
        <f>'System Assumptions'!$E$30+'System Assumptions'!$E$28-'Data Model Calculations'!I403</f>
        <v>64.501329380873571</v>
      </c>
      <c r="K403" s="45">
        <f t="shared" si="70"/>
        <v>54.004470239092015</v>
      </c>
      <c r="L403" s="46">
        <f t="shared" si="71"/>
        <v>731739366054145.38</v>
      </c>
      <c r="M403" s="47">
        <f>D403/1000*('System Assumptions'!$F$20*1000000)</f>
        <v>276691425000.00018</v>
      </c>
      <c r="N403" s="48"/>
      <c r="O403" s="49">
        <f>(F403/1000)*('System Assumptions'!$F$21*1000000)</f>
        <v>6427291623373.3125</v>
      </c>
      <c r="P403" s="49">
        <f t="shared" si="75"/>
        <v>-6764177817554.5488</v>
      </c>
      <c r="Q403" s="48">
        <f t="shared" si="72"/>
        <v>731679171284964.25</v>
      </c>
      <c r="R403" s="53">
        <f t="shared" si="73"/>
        <v>54.000027691961712</v>
      </c>
      <c r="S403" s="52">
        <v>35</v>
      </c>
    </row>
    <row r="404" spans="1:19">
      <c r="A404" s="3">
        <f t="shared" si="68"/>
        <v>34</v>
      </c>
      <c r="B404" s="3">
        <f t="shared" si="76"/>
        <v>402</v>
      </c>
      <c r="C404" s="40">
        <f t="shared" si="69"/>
        <v>13549607334.625124</v>
      </c>
      <c r="D404" s="41">
        <f>'System Assumptions'!$E$11/12</f>
        <v>75242280</v>
      </c>
      <c r="E404" s="41">
        <f>-'System Assumptions'!$E$10/12</f>
        <v>-133627000</v>
      </c>
      <c r="F404" s="41">
        <f>IF(I403&lt;'System Assumptions'!$E$29,'Hydrological Data Model'!$E$33/12,'Hydrological Data Model'!$E$33/12)</f>
        <v>183636903.52495179</v>
      </c>
      <c r="G404" s="42">
        <f>IF(I403&lt;'System Assumptions'!$E$29,0,-(MIN('Hydrological Data Model'!$E$34,'Hydrological Data Model'!$E$33-'System Assumptions'!$E$12))/12)</f>
        <v>-125252183.52495177</v>
      </c>
      <c r="H404" s="42">
        <f t="shared" si="74"/>
        <v>13549607334.625124</v>
      </c>
      <c r="I404" s="106">
        <f>H404/'System Assumptions'!$F$15</f>
        <v>15.252270619126433</v>
      </c>
      <c r="J404" s="42">
        <f>'System Assumptions'!$E$30+'System Assumptions'!$E$28-'Data Model Calculations'!I404</f>
        <v>64.501329380873571</v>
      </c>
      <c r="K404" s="45">
        <f t="shared" si="70"/>
        <v>54.000027691961712</v>
      </c>
      <c r="L404" s="46">
        <f t="shared" si="71"/>
        <v>731679171284964.25</v>
      </c>
      <c r="M404" s="47">
        <f>D404/1000*('System Assumptions'!$F$20*1000000)</f>
        <v>276691425000.00018</v>
      </c>
      <c r="N404" s="48"/>
      <c r="O404" s="49">
        <f>(F404/1000)*('System Assumptions'!$F$21*1000000)</f>
        <v>6427291623373.3125</v>
      </c>
      <c r="P404" s="49">
        <f t="shared" si="75"/>
        <v>-6763621378826.0664</v>
      </c>
      <c r="Q404" s="48">
        <f t="shared" si="72"/>
        <v>731619532954511.38</v>
      </c>
      <c r="R404" s="53">
        <f t="shared" si="73"/>
        <v>53.995626211610286</v>
      </c>
      <c r="S404" s="52">
        <v>35</v>
      </c>
    </row>
    <row r="405" spans="1:19">
      <c r="A405" s="3">
        <f t="shared" si="68"/>
        <v>34</v>
      </c>
      <c r="B405" s="3">
        <f t="shared" si="76"/>
        <v>403</v>
      </c>
      <c r="C405" s="40">
        <f t="shared" si="69"/>
        <v>13549607334.625124</v>
      </c>
      <c r="D405" s="41">
        <f>'System Assumptions'!$E$11/12</f>
        <v>75242280</v>
      </c>
      <c r="E405" s="41">
        <f>-'System Assumptions'!$E$10/12</f>
        <v>-133627000</v>
      </c>
      <c r="F405" s="41">
        <f>IF(I404&lt;'System Assumptions'!$E$29,'Hydrological Data Model'!$E$33/12,'Hydrological Data Model'!$E$33/12)</f>
        <v>183636903.52495179</v>
      </c>
      <c r="G405" s="42">
        <f>IF(I404&lt;'System Assumptions'!$E$29,0,-(MIN('Hydrological Data Model'!$E$34,'Hydrological Data Model'!$E$33-'System Assumptions'!$E$12))/12)</f>
        <v>-125252183.52495177</v>
      </c>
      <c r="H405" s="42">
        <f t="shared" si="74"/>
        <v>13549607334.625124</v>
      </c>
      <c r="I405" s="106">
        <f>H405/'System Assumptions'!$F$15</f>
        <v>15.252270619126433</v>
      </c>
      <c r="J405" s="42">
        <f>'System Assumptions'!$E$30+'System Assumptions'!$E$28-'Data Model Calculations'!I405</f>
        <v>64.501329380873571</v>
      </c>
      <c r="K405" s="45">
        <f t="shared" si="70"/>
        <v>53.995626211610286</v>
      </c>
      <c r="L405" s="46">
        <f t="shared" si="71"/>
        <v>731619532954511.38</v>
      </c>
      <c r="M405" s="47">
        <f>D405/1000*('System Assumptions'!$F$20*1000000)</f>
        <v>276691425000.00018</v>
      </c>
      <c r="N405" s="48"/>
      <c r="O405" s="49">
        <f>(F405/1000)*('System Assumptions'!$F$21*1000000)</f>
        <v>6427291623373.3125</v>
      </c>
      <c r="P405" s="49">
        <f t="shared" si="75"/>
        <v>-6763070083801.3076</v>
      </c>
      <c r="Q405" s="48">
        <f t="shared" si="72"/>
        <v>731560445919083.5</v>
      </c>
      <c r="R405" s="53">
        <f t="shared" si="73"/>
        <v>53.99126541841764</v>
      </c>
      <c r="S405" s="52">
        <v>35</v>
      </c>
    </row>
    <row r="406" spans="1:19">
      <c r="A406" s="3">
        <f t="shared" si="68"/>
        <v>34</v>
      </c>
      <c r="B406" s="3">
        <f t="shared" si="76"/>
        <v>404</v>
      </c>
      <c r="C406" s="40">
        <f t="shared" si="69"/>
        <v>13549607334.625124</v>
      </c>
      <c r="D406" s="41">
        <f>'System Assumptions'!$E$11/12</f>
        <v>75242280</v>
      </c>
      <c r="E406" s="41">
        <f>-'System Assumptions'!$E$10/12</f>
        <v>-133627000</v>
      </c>
      <c r="F406" s="41">
        <f>IF(I405&lt;'System Assumptions'!$E$29,'Hydrological Data Model'!$E$33/12,'Hydrological Data Model'!$E$33/12)</f>
        <v>183636903.52495179</v>
      </c>
      <c r="G406" s="42">
        <f>IF(I405&lt;'System Assumptions'!$E$29,0,-(MIN('Hydrological Data Model'!$E$34,'Hydrological Data Model'!$E$33-'System Assumptions'!$E$12))/12)</f>
        <v>-125252183.52495177</v>
      </c>
      <c r="H406" s="42">
        <f t="shared" si="74"/>
        <v>13549607334.625124</v>
      </c>
      <c r="I406" s="106">
        <f>H406/'System Assumptions'!$F$15</f>
        <v>15.252270619126433</v>
      </c>
      <c r="J406" s="42">
        <f>'System Assumptions'!$E$30+'System Assumptions'!$E$28-'Data Model Calculations'!I406</f>
        <v>64.501329380873571</v>
      </c>
      <c r="K406" s="45">
        <f t="shared" si="70"/>
        <v>53.99126541841764</v>
      </c>
      <c r="L406" s="46">
        <f t="shared" si="71"/>
        <v>731560445919083.5</v>
      </c>
      <c r="M406" s="47">
        <f>D406/1000*('System Assumptions'!$F$20*1000000)</f>
        <v>276691425000.00018</v>
      </c>
      <c r="N406" s="48"/>
      <c r="O406" s="49">
        <f>(F406/1000)*('System Assumptions'!$F$21*1000000)</f>
        <v>6427291623373.3125</v>
      </c>
      <c r="P406" s="49">
        <f t="shared" si="75"/>
        <v>-6762523884932.0283</v>
      </c>
      <c r="Q406" s="48">
        <f t="shared" si="72"/>
        <v>731501905082524.75</v>
      </c>
      <c r="R406" s="53">
        <f t="shared" si="73"/>
        <v>53.986944936272813</v>
      </c>
      <c r="S406" s="52">
        <v>35</v>
      </c>
    </row>
    <row r="407" spans="1:19">
      <c r="A407" s="3">
        <f t="shared" si="68"/>
        <v>34</v>
      </c>
      <c r="B407" s="3">
        <f t="shared" si="76"/>
        <v>405</v>
      </c>
      <c r="C407" s="40">
        <f t="shared" si="69"/>
        <v>13549607334.625124</v>
      </c>
      <c r="D407" s="41">
        <f>'System Assumptions'!$E$11/12</f>
        <v>75242280</v>
      </c>
      <c r="E407" s="41">
        <f>-'System Assumptions'!$E$10/12</f>
        <v>-133627000</v>
      </c>
      <c r="F407" s="41">
        <f>IF(I406&lt;'System Assumptions'!$E$29,'Hydrological Data Model'!$E$33/12,'Hydrological Data Model'!$E$33/12)</f>
        <v>183636903.52495179</v>
      </c>
      <c r="G407" s="42">
        <f>IF(I406&lt;'System Assumptions'!$E$29,0,-(MIN('Hydrological Data Model'!$E$34,'Hydrological Data Model'!$E$33-'System Assumptions'!$E$12))/12)</f>
        <v>-125252183.52495177</v>
      </c>
      <c r="H407" s="42">
        <f t="shared" si="74"/>
        <v>13549607334.625124</v>
      </c>
      <c r="I407" s="106">
        <f>H407/'System Assumptions'!$F$15</f>
        <v>15.252270619126433</v>
      </c>
      <c r="J407" s="42">
        <f>'System Assumptions'!$E$30+'System Assumptions'!$E$28-'Data Model Calculations'!I407</f>
        <v>64.501329380873571</v>
      </c>
      <c r="K407" s="45">
        <f t="shared" si="70"/>
        <v>53.986944936272813</v>
      </c>
      <c r="L407" s="46">
        <f t="shared" si="71"/>
        <v>731501905082524.75</v>
      </c>
      <c r="M407" s="47">
        <f>D407/1000*('System Assumptions'!$F$20*1000000)</f>
        <v>276691425000.00018</v>
      </c>
      <c r="N407" s="48"/>
      <c r="O407" s="49">
        <f>(F407/1000)*('System Assumptions'!$F$21*1000000)</f>
        <v>6427291623373.3125</v>
      </c>
      <c r="P407" s="49">
        <f t="shared" si="75"/>
        <v>-6761982735109.5078</v>
      </c>
      <c r="Q407" s="48">
        <f t="shared" si="72"/>
        <v>731443905395788.5</v>
      </c>
      <c r="R407" s="53">
        <f t="shared" si="73"/>
        <v>53.982664392541629</v>
      </c>
      <c r="S407" s="52">
        <v>35</v>
      </c>
    </row>
    <row r="408" spans="1:19">
      <c r="A408" s="3">
        <f t="shared" si="68"/>
        <v>34</v>
      </c>
      <c r="B408" s="3">
        <f t="shared" si="76"/>
        <v>406</v>
      </c>
      <c r="C408" s="40">
        <f t="shared" si="69"/>
        <v>13549607334.625124</v>
      </c>
      <c r="D408" s="41">
        <f>'System Assumptions'!$E$11/12</f>
        <v>75242280</v>
      </c>
      <c r="E408" s="41">
        <f>-'System Assumptions'!$E$10/12</f>
        <v>-133627000</v>
      </c>
      <c r="F408" s="41">
        <f>IF(I407&lt;'System Assumptions'!$E$29,'Hydrological Data Model'!$E$33/12,'Hydrological Data Model'!$E$33/12)</f>
        <v>183636903.52495179</v>
      </c>
      <c r="G408" s="42">
        <f>IF(I407&lt;'System Assumptions'!$E$29,0,-(MIN('Hydrological Data Model'!$E$34,'Hydrological Data Model'!$E$33-'System Assumptions'!$E$12))/12)</f>
        <v>-125252183.52495177</v>
      </c>
      <c r="H408" s="42">
        <f t="shared" si="74"/>
        <v>13549607334.625124</v>
      </c>
      <c r="I408" s="106">
        <f>H408/'System Assumptions'!$F$15</f>
        <v>15.252270619126433</v>
      </c>
      <c r="J408" s="42">
        <f>'System Assumptions'!$E$30+'System Assumptions'!$E$28-'Data Model Calculations'!I408</f>
        <v>64.501329380873571</v>
      </c>
      <c r="K408" s="45">
        <f t="shared" si="70"/>
        <v>53.982664392541629</v>
      </c>
      <c r="L408" s="46">
        <f t="shared" si="71"/>
        <v>731443905395788.5</v>
      </c>
      <c r="M408" s="47">
        <f>D408/1000*('System Assumptions'!$F$20*1000000)</f>
        <v>276691425000.00018</v>
      </c>
      <c r="N408" s="48"/>
      <c r="O408" s="49">
        <f>(F408/1000)*('System Assumptions'!$F$21*1000000)</f>
        <v>6427291623373.3125</v>
      </c>
      <c r="P408" s="49">
        <f t="shared" si="75"/>
        <v>-6761446587660.5029</v>
      </c>
      <c r="Q408" s="48">
        <f t="shared" si="72"/>
        <v>731386441856501.25</v>
      </c>
      <c r="R408" s="53">
        <f t="shared" si="73"/>
        <v>53.978423418034531</v>
      </c>
      <c r="S408" s="52">
        <v>35</v>
      </c>
    </row>
    <row r="409" spans="1:19">
      <c r="A409" s="3">
        <f t="shared" si="68"/>
        <v>34</v>
      </c>
      <c r="B409" s="3">
        <f t="shared" si="76"/>
        <v>407</v>
      </c>
      <c r="C409" s="40">
        <f t="shared" si="69"/>
        <v>13549607334.625124</v>
      </c>
      <c r="D409" s="41">
        <f>'System Assumptions'!$E$11/12</f>
        <v>75242280</v>
      </c>
      <c r="E409" s="41">
        <f>-'System Assumptions'!$E$10/12</f>
        <v>-133627000</v>
      </c>
      <c r="F409" s="41">
        <f>IF(I408&lt;'System Assumptions'!$E$29,'Hydrological Data Model'!$E$33/12,'Hydrological Data Model'!$E$33/12)</f>
        <v>183636903.52495179</v>
      </c>
      <c r="G409" s="42">
        <f>IF(I408&lt;'System Assumptions'!$E$29,0,-(MIN('Hydrological Data Model'!$E$34,'Hydrological Data Model'!$E$33-'System Assumptions'!$E$12))/12)</f>
        <v>-125252183.52495177</v>
      </c>
      <c r="H409" s="42">
        <f t="shared" si="74"/>
        <v>13549607334.625124</v>
      </c>
      <c r="I409" s="106">
        <f>H409/'System Assumptions'!$F$15</f>
        <v>15.252270619126433</v>
      </c>
      <c r="J409" s="42">
        <f>'System Assumptions'!$E$30+'System Assumptions'!$E$28-'Data Model Calculations'!I409</f>
        <v>64.501329380873571</v>
      </c>
      <c r="K409" s="45">
        <f t="shared" si="70"/>
        <v>53.978423418034531</v>
      </c>
      <c r="L409" s="46">
        <f t="shared" si="71"/>
        <v>731386441856501.25</v>
      </c>
      <c r="M409" s="47">
        <f>D409/1000*('System Assumptions'!$F$20*1000000)</f>
        <v>276691425000.00018</v>
      </c>
      <c r="N409" s="48"/>
      <c r="O409" s="49">
        <f>(F409/1000)*('System Assumptions'!$F$21*1000000)</f>
        <v>6427291623373.3125</v>
      </c>
      <c r="P409" s="49">
        <f t="shared" si="75"/>
        <v>-6760915396343.2148</v>
      </c>
      <c r="Q409" s="48">
        <f t="shared" si="72"/>
        <v>731329509508531.25</v>
      </c>
      <c r="R409" s="53">
        <f t="shared" si="73"/>
        <v>53.974221646974748</v>
      </c>
      <c r="S409" s="52">
        <v>35</v>
      </c>
    </row>
    <row r="410" spans="1:19">
      <c r="A410" s="3">
        <f t="shared" si="68"/>
        <v>34</v>
      </c>
      <c r="B410" s="3">
        <f t="shared" si="76"/>
        <v>408</v>
      </c>
      <c r="C410" s="40">
        <f t="shared" si="69"/>
        <v>13549607334.625124</v>
      </c>
      <c r="D410" s="41">
        <f>'System Assumptions'!$E$11/12</f>
        <v>75242280</v>
      </c>
      <c r="E410" s="41">
        <f>-'System Assumptions'!$E$10/12</f>
        <v>-133627000</v>
      </c>
      <c r="F410" s="41">
        <f>IF(I409&lt;'System Assumptions'!$E$29,'Hydrological Data Model'!$E$33/12,'Hydrological Data Model'!$E$33/12)</f>
        <v>183636903.52495179</v>
      </c>
      <c r="G410" s="42">
        <f>IF(I409&lt;'System Assumptions'!$E$29,0,-(MIN('Hydrological Data Model'!$E$34,'Hydrological Data Model'!$E$33-'System Assumptions'!$E$12))/12)</f>
        <v>-125252183.52495177</v>
      </c>
      <c r="H410" s="42">
        <f t="shared" si="74"/>
        <v>13549607334.625124</v>
      </c>
      <c r="I410" s="106">
        <f>H410/'System Assumptions'!$F$15</f>
        <v>15.252270619126433</v>
      </c>
      <c r="J410" s="42">
        <f>'System Assumptions'!$E$30+'System Assumptions'!$E$28-'Data Model Calculations'!I410</f>
        <v>64.501329380873571</v>
      </c>
      <c r="K410" s="45">
        <f t="shared" si="70"/>
        <v>53.974221646974748</v>
      </c>
      <c r="L410" s="46">
        <f t="shared" si="71"/>
        <v>731329509508531.25</v>
      </c>
      <c r="M410" s="47">
        <f>D410/1000*('System Assumptions'!$F$20*1000000)</f>
        <v>276691425000.00018</v>
      </c>
      <c r="N410" s="48"/>
      <c r="O410" s="49">
        <f>(F410/1000)*('System Assumptions'!$F$21*1000000)</f>
        <v>6427291623373.3125</v>
      </c>
      <c r="P410" s="49">
        <f t="shared" si="75"/>
        <v>-6760389115343.3047</v>
      </c>
      <c r="Q410" s="48">
        <f t="shared" si="72"/>
        <v>731273103441561.25</v>
      </c>
      <c r="R410" s="53">
        <f t="shared" si="73"/>
        <v>53.970058716966747</v>
      </c>
      <c r="S410" s="52">
        <v>35</v>
      </c>
    </row>
    <row r="411" spans="1:19">
      <c r="A411" s="3">
        <f t="shared" si="68"/>
        <v>35</v>
      </c>
      <c r="B411" s="3">
        <f t="shared" si="76"/>
        <v>409</v>
      </c>
      <c r="C411" s="40">
        <f t="shared" si="69"/>
        <v>13549607334.625124</v>
      </c>
      <c r="D411" s="41">
        <f>'System Assumptions'!$E$11/12</f>
        <v>75242280</v>
      </c>
      <c r="E411" s="41">
        <f>-'System Assumptions'!$E$10/12</f>
        <v>-133627000</v>
      </c>
      <c r="F411" s="41">
        <f>IF(I410&lt;'System Assumptions'!$E$29,'Hydrological Data Model'!$E$33/12,'Hydrological Data Model'!$E$33/12)</f>
        <v>183636903.52495179</v>
      </c>
      <c r="G411" s="42">
        <f>IF(I410&lt;'System Assumptions'!$E$29,0,-(MIN('Hydrological Data Model'!$E$34,'Hydrological Data Model'!$E$33-'System Assumptions'!$E$12))/12)</f>
        <v>-125252183.52495177</v>
      </c>
      <c r="H411" s="42">
        <f t="shared" si="74"/>
        <v>13549607334.625124</v>
      </c>
      <c r="I411" s="106">
        <f>H411/'System Assumptions'!$F$15</f>
        <v>15.252270619126433</v>
      </c>
      <c r="J411" s="42">
        <f>'System Assumptions'!$E$30+'System Assumptions'!$E$28-'Data Model Calculations'!I411</f>
        <v>64.501329380873571</v>
      </c>
      <c r="K411" s="45">
        <f t="shared" si="70"/>
        <v>53.970058716966747</v>
      </c>
      <c r="L411" s="46">
        <f t="shared" si="71"/>
        <v>731273103441561.25</v>
      </c>
      <c r="M411" s="47">
        <f>D411/1000*('System Assumptions'!$F$20*1000000)</f>
        <v>276691425000.00018</v>
      </c>
      <c r="N411" s="48"/>
      <c r="O411" s="49">
        <f>(F411/1000)*('System Assumptions'!$F$21*1000000)</f>
        <v>6427291623373.3125</v>
      </c>
      <c r="P411" s="49">
        <f t="shared" si="75"/>
        <v>-6759867699269.9424</v>
      </c>
      <c r="Q411" s="48">
        <f t="shared" si="72"/>
        <v>731217218790664.5</v>
      </c>
      <c r="R411" s="53">
        <f t="shared" si="73"/>
        <v>53.965934268964922</v>
      </c>
      <c r="S411" s="52">
        <v>35</v>
      </c>
    </row>
    <row r="412" spans="1:19">
      <c r="A412" s="3">
        <f t="shared" si="68"/>
        <v>35</v>
      </c>
      <c r="B412" s="3">
        <f t="shared" si="76"/>
        <v>410</v>
      </c>
      <c r="C412" s="40">
        <f t="shared" si="69"/>
        <v>13549607334.625124</v>
      </c>
      <c r="D412" s="41">
        <f>'System Assumptions'!$E$11/12</f>
        <v>75242280</v>
      </c>
      <c r="E412" s="41">
        <f>-'System Assumptions'!$E$10/12</f>
        <v>-133627000</v>
      </c>
      <c r="F412" s="41">
        <f>IF(I411&lt;'System Assumptions'!$E$29,'Hydrological Data Model'!$E$33/12,'Hydrological Data Model'!$E$33/12)</f>
        <v>183636903.52495179</v>
      </c>
      <c r="G412" s="42">
        <f>IF(I411&lt;'System Assumptions'!$E$29,0,-(MIN('Hydrological Data Model'!$E$34,'Hydrological Data Model'!$E$33-'System Assumptions'!$E$12))/12)</f>
        <v>-125252183.52495177</v>
      </c>
      <c r="H412" s="42">
        <f t="shared" si="74"/>
        <v>13549607334.625124</v>
      </c>
      <c r="I412" s="106">
        <f>H412/'System Assumptions'!$F$15</f>
        <v>15.252270619126433</v>
      </c>
      <c r="J412" s="42">
        <f>'System Assumptions'!$E$30+'System Assumptions'!$E$28-'Data Model Calculations'!I412</f>
        <v>64.501329380873571</v>
      </c>
      <c r="K412" s="45">
        <f t="shared" si="70"/>
        <v>53.965934268964922</v>
      </c>
      <c r="L412" s="46">
        <f t="shared" si="71"/>
        <v>731217218790664.5</v>
      </c>
      <c r="M412" s="47">
        <f>D412/1000*('System Assumptions'!$F$20*1000000)</f>
        <v>276691425000.00018</v>
      </c>
      <c r="N412" s="48"/>
      <c r="O412" s="49">
        <f>(F412/1000)*('System Assumptions'!$F$21*1000000)</f>
        <v>6427291623373.3125</v>
      </c>
      <c r="P412" s="49">
        <f t="shared" si="75"/>
        <v>-6759351103151.8779</v>
      </c>
      <c r="Q412" s="48">
        <f t="shared" si="72"/>
        <v>731161850735885.88</v>
      </c>
      <c r="R412" s="53">
        <f t="shared" si="73"/>
        <v>53.961847947242731</v>
      </c>
      <c r="S412" s="52">
        <v>35</v>
      </c>
    </row>
    <row r="413" spans="1:19">
      <c r="A413" s="3">
        <f t="shared" si="68"/>
        <v>35</v>
      </c>
      <c r="B413" s="3">
        <f t="shared" si="76"/>
        <v>411</v>
      </c>
      <c r="C413" s="40">
        <f t="shared" si="69"/>
        <v>13549607334.625124</v>
      </c>
      <c r="D413" s="41">
        <f>'System Assumptions'!$E$11/12</f>
        <v>75242280</v>
      </c>
      <c r="E413" s="41">
        <f>-'System Assumptions'!$E$10/12</f>
        <v>-133627000</v>
      </c>
      <c r="F413" s="41">
        <f>IF(I412&lt;'System Assumptions'!$E$29,'Hydrological Data Model'!$E$33/12,'Hydrological Data Model'!$E$33/12)</f>
        <v>183636903.52495179</v>
      </c>
      <c r="G413" s="42">
        <f>IF(I412&lt;'System Assumptions'!$E$29,0,-(MIN('Hydrological Data Model'!$E$34,'Hydrological Data Model'!$E$33-'System Assumptions'!$E$12))/12)</f>
        <v>-125252183.52495177</v>
      </c>
      <c r="H413" s="42">
        <f t="shared" si="74"/>
        <v>13549607334.625124</v>
      </c>
      <c r="I413" s="106">
        <f>H413/'System Assumptions'!$F$15</f>
        <v>15.252270619126433</v>
      </c>
      <c r="J413" s="42">
        <f>'System Assumptions'!$E$30+'System Assumptions'!$E$28-'Data Model Calculations'!I413</f>
        <v>64.501329380873571</v>
      </c>
      <c r="K413" s="45">
        <f t="shared" si="70"/>
        <v>53.961847947242731</v>
      </c>
      <c r="L413" s="46">
        <f t="shared" si="71"/>
        <v>731161850735885.88</v>
      </c>
      <c r="M413" s="47">
        <f>D413/1000*('System Assumptions'!$F$20*1000000)</f>
        <v>276691425000.00018</v>
      </c>
      <c r="N413" s="48"/>
      <c r="O413" s="49">
        <f>(F413/1000)*('System Assumptions'!$F$21*1000000)</f>
        <v>6427291623373.3125</v>
      </c>
      <c r="P413" s="49">
        <f t="shared" si="75"/>
        <v>-6758839282433.5879</v>
      </c>
      <c r="Q413" s="48">
        <f t="shared" si="72"/>
        <v>731106994501825.63</v>
      </c>
      <c r="R413" s="53">
        <f t="shared" si="73"/>
        <v>53.957799399361939</v>
      </c>
      <c r="S413" s="52">
        <v>35</v>
      </c>
    </row>
    <row r="414" spans="1:19">
      <c r="A414" s="3">
        <f t="shared" si="68"/>
        <v>35</v>
      </c>
      <c r="B414" s="3">
        <f t="shared" si="76"/>
        <v>412</v>
      </c>
      <c r="C414" s="40">
        <f t="shared" si="69"/>
        <v>13549607334.625124</v>
      </c>
      <c r="D414" s="41">
        <f>'System Assumptions'!$E$11/12</f>
        <v>75242280</v>
      </c>
      <c r="E414" s="41">
        <f>-'System Assumptions'!$E$10/12</f>
        <v>-133627000</v>
      </c>
      <c r="F414" s="41">
        <f>IF(I413&lt;'System Assumptions'!$E$29,'Hydrological Data Model'!$E$33/12,'Hydrological Data Model'!$E$33/12)</f>
        <v>183636903.52495179</v>
      </c>
      <c r="G414" s="42">
        <f>IF(I413&lt;'System Assumptions'!$E$29,0,-(MIN('Hydrological Data Model'!$E$34,'Hydrological Data Model'!$E$33-'System Assumptions'!$E$12))/12)</f>
        <v>-125252183.52495177</v>
      </c>
      <c r="H414" s="42">
        <f t="shared" si="74"/>
        <v>13549607334.625124</v>
      </c>
      <c r="I414" s="106">
        <f>H414/'System Assumptions'!$F$15</f>
        <v>15.252270619126433</v>
      </c>
      <c r="J414" s="42">
        <f>'System Assumptions'!$E$30+'System Assumptions'!$E$28-'Data Model Calculations'!I414</f>
        <v>64.501329380873571</v>
      </c>
      <c r="K414" s="45">
        <f t="shared" si="70"/>
        <v>53.957799399361939</v>
      </c>
      <c r="L414" s="46">
        <f t="shared" si="71"/>
        <v>731106994501825.63</v>
      </c>
      <c r="M414" s="47">
        <f>D414/1000*('System Assumptions'!$F$20*1000000)</f>
        <v>276691425000.00018</v>
      </c>
      <c r="N414" s="48"/>
      <c r="O414" s="49">
        <f>(F414/1000)*('System Assumptions'!$F$21*1000000)</f>
        <v>6427291623373.3125</v>
      </c>
      <c r="P414" s="49">
        <f t="shared" si="75"/>
        <v>-6758332192971.4141</v>
      </c>
      <c r="Q414" s="48">
        <f t="shared" si="72"/>
        <v>731052645357227.63</v>
      </c>
      <c r="R414" s="53">
        <f t="shared" si="73"/>
        <v>53.95378827614222</v>
      </c>
      <c r="S414" s="52">
        <v>35</v>
      </c>
    </row>
    <row r="415" spans="1:19">
      <c r="A415" s="3">
        <f t="shared" si="68"/>
        <v>35</v>
      </c>
      <c r="B415" s="3">
        <f t="shared" si="76"/>
        <v>413</v>
      </c>
      <c r="C415" s="40">
        <f t="shared" si="69"/>
        <v>13549607334.625124</v>
      </c>
      <c r="D415" s="41">
        <f>'System Assumptions'!$E$11/12</f>
        <v>75242280</v>
      </c>
      <c r="E415" s="41">
        <f>-'System Assumptions'!$E$10/12</f>
        <v>-133627000</v>
      </c>
      <c r="F415" s="41">
        <f>IF(I414&lt;'System Assumptions'!$E$29,'Hydrological Data Model'!$E$33/12,'Hydrological Data Model'!$E$33/12)</f>
        <v>183636903.52495179</v>
      </c>
      <c r="G415" s="42">
        <f>IF(I414&lt;'System Assumptions'!$E$29,0,-(MIN('Hydrological Data Model'!$E$34,'Hydrological Data Model'!$E$33-'System Assumptions'!$E$12))/12)</f>
        <v>-125252183.52495177</v>
      </c>
      <c r="H415" s="42">
        <f t="shared" si="74"/>
        <v>13549607334.625124</v>
      </c>
      <c r="I415" s="106">
        <f>H415/'System Assumptions'!$F$15</f>
        <v>15.252270619126433</v>
      </c>
      <c r="J415" s="42">
        <f>'System Assumptions'!$E$30+'System Assumptions'!$E$28-'Data Model Calculations'!I415</f>
        <v>64.501329380873571</v>
      </c>
      <c r="K415" s="45">
        <f t="shared" si="70"/>
        <v>53.95378827614222</v>
      </c>
      <c r="L415" s="46">
        <f t="shared" si="71"/>
        <v>731052645357227.63</v>
      </c>
      <c r="M415" s="47">
        <f>D415/1000*('System Assumptions'!$F$20*1000000)</f>
        <v>276691425000.00018</v>
      </c>
      <c r="N415" s="48"/>
      <c r="O415" s="49">
        <f>(F415/1000)*('System Assumptions'!$F$21*1000000)</f>
        <v>6427291623373.3125</v>
      </c>
      <c r="P415" s="49">
        <f t="shared" si="75"/>
        <v>-6757829791029.7559</v>
      </c>
      <c r="Q415" s="48">
        <f t="shared" si="72"/>
        <v>730998798614571.25</v>
      </c>
      <c r="R415" s="53">
        <f t="shared" si="73"/>
        <v>53.949814231631073</v>
      </c>
      <c r="S415" s="52">
        <v>35</v>
      </c>
    </row>
    <row r="416" spans="1:19">
      <c r="A416" s="3">
        <f t="shared" si="68"/>
        <v>35</v>
      </c>
      <c r="B416" s="3">
        <f t="shared" si="76"/>
        <v>414</v>
      </c>
      <c r="C416" s="40">
        <f t="shared" si="69"/>
        <v>13549607334.625124</v>
      </c>
      <c r="D416" s="41">
        <f>'System Assumptions'!$E$11/12</f>
        <v>75242280</v>
      </c>
      <c r="E416" s="41">
        <f>-'System Assumptions'!$E$10/12</f>
        <v>-133627000</v>
      </c>
      <c r="F416" s="41">
        <f>IF(I415&lt;'System Assumptions'!$E$29,'Hydrological Data Model'!$E$33/12,'Hydrological Data Model'!$E$33/12)</f>
        <v>183636903.52495179</v>
      </c>
      <c r="G416" s="42">
        <f>IF(I415&lt;'System Assumptions'!$E$29,0,-(MIN('Hydrological Data Model'!$E$34,'Hydrological Data Model'!$E$33-'System Assumptions'!$E$12))/12)</f>
        <v>-125252183.52495177</v>
      </c>
      <c r="H416" s="42">
        <f t="shared" si="74"/>
        <v>13549607334.625124</v>
      </c>
      <c r="I416" s="106">
        <f>H416/'System Assumptions'!$F$15</f>
        <v>15.252270619126433</v>
      </c>
      <c r="J416" s="42">
        <f>'System Assumptions'!$E$30+'System Assumptions'!$E$28-'Data Model Calculations'!I416</f>
        <v>64.501329380873571</v>
      </c>
      <c r="K416" s="45">
        <f t="shared" si="70"/>
        <v>53.949814231631073</v>
      </c>
      <c r="L416" s="46">
        <f t="shared" si="71"/>
        <v>730998798614571.25</v>
      </c>
      <c r="M416" s="47">
        <f>D416/1000*('System Assumptions'!$F$20*1000000)</f>
        <v>276691425000.00018</v>
      </c>
      <c r="N416" s="48"/>
      <c r="O416" s="49">
        <f>(F416/1000)*('System Assumptions'!$F$21*1000000)</f>
        <v>6427291623373.3125</v>
      </c>
      <c r="P416" s="49">
        <f t="shared" si="75"/>
        <v>-6757332033277.3096</v>
      </c>
      <c r="Q416" s="48">
        <f t="shared" si="72"/>
        <v>730945449629667.25</v>
      </c>
      <c r="R416" s="53">
        <f t="shared" si="73"/>
        <v>53.945876923073961</v>
      </c>
      <c r="S416" s="52">
        <v>35</v>
      </c>
    </row>
    <row r="417" spans="1:19">
      <c r="A417" s="3">
        <f t="shared" si="68"/>
        <v>35</v>
      </c>
      <c r="B417" s="3">
        <f t="shared" si="76"/>
        <v>415</v>
      </c>
      <c r="C417" s="40">
        <f t="shared" si="69"/>
        <v>13549607334.625124</v>
      </c>
      <c r="D417" s="41">
        <f>'System Assumptions'!$E$11/12</f>
        <v>75242280</v>
      </c>
      <c r="E417" s="41">
        <f>-'System Assumptions'!$E$10/12</f>
        <v>-133627000</v>
      </c>
      <c r="F417" s="41">
        <f>IF(I416&lt;'System Assumptions'!$E$29,'Hydrological Data Model'!$E$33/12,'Hydrological Data Model'!$E$33/12)</f>
        <v>183636903.52495179</v>
      </c>
      <c r="G417" s="42">
        <f>IF(I416&lt;'System Assumptions'!$E$29,0,-(MIN('Hydrological Data Model'!$E$34,'Hydrological Data Model'!$E$33-'System Assumptions'!$E$12))/12)</f>
        <v>-125252183.52495177</v>
      </c>
      <c r="H417" s="42">
        <f t="shared" si="74"/>
        <v>13549607334.625124</v>
      </c>
      <c r="I417" s="106">
        <f>H417/'System Assumptions'!$F$15</f>
        <v>15.252270619126433</v>
      </c>
      <c r="J417" s="42">
        <f>'System Assumptions'!$E$30+'System Assumptions'!$E$28-'Data Model Calculations'!I417</f>
        <v>64.501329380873571</v>
      </c>
      <c r="K417" s="45">
        <f t="shared" si="70"/>
        <v>53.945876923073961</v>
      </c>
      <c r="L417" s="46">
        <f t="shared" si="71"/>
        <v>730945449629667.25</v>
      </c>
      <c r="M417" s="47">
        <f>D417/1000*('System Assumptions'!$F$20*1000000)</f>
        <v>276691425000.00018</v>
      </c>
      <c r="N417" s="48"/>
      <c r="O417" s="49">
        <f>(F417/1000)*('System Assumptions'!$F$21*1000000)</f>
        <v>6427291623373.3125</v>
      </c>
      <c r="P417" s="49">
        <f t="shared" si="75"/>
        <v>-6756838876783.3203</v>
      </c>
      <c r="Q417" s="48">
        <f t="shared" si="72"/>
        <v>730892593801257.13</v>
      </c>
      <c r="R417" s="53">
        <f t="shared" si="73"/>
        <v>53.941976010884794</v>
      </c>
      <c r="S417" s="52">
        <v>35</v>
      </c>
    </row>
    <row r="418" spans="1:19">
      <c r="A418" s="3">
        <f t="shared" si="68"/>
        <v>35</v>
      </c>
      <c r="B418" s="3">
        <f t="shared" si="76"/>
        <v>416</v>
      </c>
      <c r="C418" s="40">
        <f t="shared" si="69"/>
        <v>13549607334.625124</v>
      </c>
      <c r="D418" s="41">
        <f>'System Assumptions'!$E$11/12</f>
        <v>75242280</v>
      </c>
      <c r="E418" s="41">
        <f>-'System Assumptions'!$E$10/12</f>
        <v>-133627000</v>
      </c>
      <c r="F418" s="41">
        <f>IF(I417&lt;'System Assumptions'!$E$29,'Hydrological Data Model'!$E$33/12,'Hydrological Data Model'!$E$33/12)</f>
        <v>183636903.52495179</v>
      </c>
      <c r="G418" s="42">
        <f>IF(I417&lt;'System Assumptions'!$E$29,0,-(MIN('Hydrological Data Model'!$E$34,'Hydrological Data Model'!$E$33-'System Assumptions'!$E$12))/12)</f>
        <v>-125252183.52495177</v>
      </c>
      <c r="H418" s="42">
        <f t="shared" si="74"/>
        <v>13549607334.625124</v>
      </c>
      <c r="I418" s="106">
        <f>H418/'System Assumptions'!$F$15</f>
        <v>15.252270619126433</v>
      </c>
      <c r="J418" s="42">
        <f>'System Assumptions'!$E$30+'System Assumptions'!$E$28-'Data Model Calculations'!I418</f>
        <v>64.501329380873571</v>
      </c>
      <c r="K418" s="45">
        <f t="shared" si="70"/>
        <v>53.941976010884794</v>
      </c>
      <c r="L418" s="46">
        <f t="shared" si="71"/>
        <v>730892593801257.13</v>
      </c>
      <c r="M418" s="47">
        <f>D418/1000*('System Assumptions'!$F$20*1000000)</f>
        <v>276691425000.00018</v>
      </c>
      <c r="N418" s="48"/>
      <c r="O418" s="49">
        <f>(F418/1000)*('System Assumptions'!$F$21*1000000)</f>
        <v>6427291623373.3125</v>
      </c>
      <c r="P418" s="49">
        <f t="shared" si="75"/>
        <v>-6756350279013.8877</v>
      </c>
      <c r="Q418" s="48">
        <f t="shared" si="72"/>
        <v>730840226570616.63</v>
      </c>
      <c r="R418" s="53">
        <f t="shared" si="73"/>
        <v>53.938111158616586</v>
      </c>
      <c r="S418" s="52">
        <v>35</v>
      </c>
    </row>
    <row r="419" spans="1:19">
      <c r="A419" s="3">
        <f t="shared" si="68"/>
        <v>35</v>
      </c>
      <c r="B419" s="3">
        <f t="shared" si="76"/>
        <v>417</v>
      </c>
      <c r="C419" s="40">
        <f t="shared" si="69"/>
        <v>13549607334.625124</v>
      </c>
      <c r="D419" s="41">
        <f>'System Assumptions'!$E$11/12</f>
        <v>75242280</v>
      </c>
      <c r="E419" s="41">
        <f>-'System Assumptions'!$E$10/12</f>
        <v>-133627000</v>
      </c>
      <c r="F419" s="41">
        <f>IF(I418&lt;'System Assumptions'!$E$29,'Hydrological Data Model'!$E$33/12,'Hydrological Data Model'!$E$33/12)</f>
        <v>183636903.52495179</v>
      </c>
      <c r="G419" s="42">
        <f>IF(I418&lt;'System Assumptions'!$E$29,0,-(MIN('Hydrological Data Model'!$E$34,'Hydrological Data Model'!$E$33-'System Assumptions'!$E$12))/12)</f>
        <v>-125252183.52495177</v>
      </c>
      <c r="H419" s="42">
        <f t="shared" si="74"/>
        <v>13549607334.625124</v>
      </c>
      <c r="I419" s="106">
        <f>H419/'System Assumptions'!$F$15</f>
        <v>15.252270619126433</v>
      </c>
      <c r="J419" s="42">
        <f>'System Assumptions'!$E$30+'System Assumptions'!$E$28-'Data Model Calculations'!I419</f>
        <v>64.501329380873571</v>
      </c>
      <c r="K419" s="45">
        <f t="shared" si="70"/>
        <v>53.938111158616586</v>
      </c>
      <c r="L419" s="46">
        <f t="shared" si="71"/>
        <v>730840226570616.63</v>
      </c>
      <c r="M419" s="47">
        <f>D419/1000*('System Assumptions'!$F$20*1000000)</f>
        <v>276691425000.00018</v>
      </c>
      <c r="N419" s="48"/>
      <c r="O419" s="49">
        <f>(F419/1000)*('System Assumptions'!$F$21*1000000)</f>
        <v>6427291623373.3125</v>
      </c>
      <c r="P419" s="49">
        <f t="shared" si="75"/>
        <v>-6755866197828.293</v>
      </c>
      <c r="Q419" s="48">
        <f t="shared" si="72"/>
        <v>730788343421161.75</v>
      </c>
      <c r="R419" s="53">
        <f t="shared" si="73"/>
        <v>53.934282032932465</v>
      </c>
      <c r="S419" s="52">
        <v>35</v>
      </c>
    </row>
    <row r="420" spans="1:19">
      <c r="A420" s="3">
        <f t="shared" si="68"/>
        <v>35</v>
      </c>
      <c r="B420" s="3">
        <f t="shared" si="76"/>
        <v>418</v>
      </c>
      <c r="C420" s="40">
        <f t="shared" si="69"/>
        <v>13549607334.625124</v>
      </c>
      <c r="D420" s="41">
        <f>'System Assumptions'!$E$11/12</f>
        <v>75242280</v>
      </c>
      <c r="E420" s="41">
        <f>-'System Assumptions'!$E$10/12</f>
        <v>-133627000</v>
      </c>
      <c r="F420" s="41">
        <f>IF(I419&lt;'System Assumptions'!$E$29,'Hydrological Data Model'!$E$33/12,'Hydrological Data Model'!$E$33/12)</f>
        <v>183636903.52495179</v>
      </c>
      <c r="G420" s="42">
        <f>IF(I419&lt;'System Assumptions'!$E$29,0,-(MIN('Hydrological Data Model'!$E$34,'Hydrological Data Model'!$E$33-'System Assumptions'!$E$12))/12)</f>
        <v>-125252183.52495177</v>
      </c>
      <c r="H420" s="42">
        <f t="shared" si="74"/>
        <v>13549607334.625124</v>
      </c>
      <c r="I420" s="106">
        <f>H420/'System Assumptions'!$F$15</f>
        <v>15.252270619126433</v>
      </c>
      <c r="J420" s="42">
        <f>'System Assumptions'!$E$30+'System Assumptions'!$E$28-'Data Model Calculations'!I420</f>
        <v>64.501329380873571</v>
      </c>
      <c r="K420" s="45">
        <f t="shared" si="70"/>
        <v>53.934282032932465</v>
      </c>
      <c r="L420" s="46">
        <f t="shared" si="71"/>
        <v>730788343421161.75</v>
      </c>
      <c r="M420" s="47">
        <f>D420/1000*('System Assumptions'!$F$20*1000000)</f>
        <v>276691425000.00018</v>
      </c>
      <c r="N420" s="48"/>
      <c r="O420" s="49">
        <f>(F420/1000)*('System Assumptions'!$F$21*1000000)</f>
        <v>6427291623373.3125</v>
      </c>
      <c r="P420" s="49">
        <f t="shared" si="75"/>
        <v>-6755386591475.3662</v>
      </c>
      <c r="Q420" s="48">
        <f t="shared" si="72"/>
        <v>730736939878059.63</v>
      </c>
      <c r="R420" s="53">
        <f t="shared" si="73"/>
        <v>53.930488303576873</v>
      </c>
      <c r="S420" s="52">
        <v>35</v>
      </c>
    </row>
    <row r="421" spans="1:19">
      <c r="A421" s="3">
        <f t="shared" si="68"/>
        <v>35</v>
      </c>
      <c r="B421" s="3">
        <f t="shared" si="76"/>
        <v>419</v>
      </c>
      <c r="C421" s="40">
        <f t="shared" si="69"/>
        <v>13549607334.625124</v>
      </c>
      <c r="D421" s="41">
        <f>'System Assumptions'!$E$11/12</f>
        <v>75242280</v>
      </c>
      <c r="E421" s="41">
        <f>-'System Assumptions'!$E$10/12</f>
        <v>-133627000</v>
      </c>
      <c r="F421" s="41">
        <f>IF(I420&lt;'System Assumptions'!$E$29,'Hydrological Data Model'!$E$33/12,'Hydrological Data Model'!$E$33/12)</f>
        <v>183636903.52495179</v>
      </c>
      <c r="G421" s="42">
        <f>IF(I420&lt;'System Assumptions'!$E$29,0,-(MIN('Hydrological Data Model'!$E$34,'Hydrological Data Model'!$E$33-'System Assumptions'!$E$12))/12)</f>
        <v>-125252183.52495177</v>
      </c>
      <c r="H421" s="42">
        <f t="shared" si="74"/>
        <v>13549607334.625124</v>
      </c>
      <c r="I421" s="106">
        <f>H421/'System Assumptions'!$F$15</f>
        <v>15.252270619126433</v>
      </c>
      <c r="J421" s="42">
        <f>'System Assumptions'!$E$30+'System Assumptions'!$E$28-'Data Model Calculations'!I421</f>
        <v>64.501329380873571</v>
      </c>
      <c r="K421" s="45">
        <f t="shared" si="70"/>
        <v>53.930488303576873</v>
      </c>
      <c r="L421" s="46">
        <f t="shared" si="71"/>
        <v>730736939878059.63</v>
      </c>
      <c r="M421" s="47">
        <f>D421/1000*('System Assumptions'!$F$20*1000000)</f>
        <v>276691425000.00018</v>
      </c>
      <c r="N421" s="48"/>
      <c r="O421" s="49">
        <f>(F421/1000)*('System Assumptions'!$F$21*1000000)</f>
        <v>6427291623373.3125</v>
      </c>
      <c r="P421" s="49">
        <f t="shared" si="75"/>
        <v>-6754911418589.875</v>
      </c>
      <c r="Q421" s="48">
        <f t="shared" si="72"/>
        <v>730686011507843.13</v>
      </c>
      <c r="R421" s="53">
        <f t="shared" si="73"/>
        <v>53.92672964334718</v>
      </c>
      <c r="S421" s="52">
        <v>35</v>
      </c>
    </row>
    <row r="422" spans="1:19">
      <c r="A422" s="3">
        <f t="shared" si="68"/>
        <v>35</v>
      </c>
      <c r="B422" s="3">
        <f t="shared" si="76"/>
        <v>420</v>
      </c>
      <c r="C422" s="40">
        <f t="shared" si="69"/>
        <v>13549607334.625124</v>
      </c>
      <c r="D422" s="41">
        <f>'System Assumptions'!$E$11/12</f>
        <v>75242280</v>
      </c>
      <c r="E422" s="41">
        <f>-'System Assumptions'!$E$10/12</f>
        <v>-133627000</v>
      </c>
      <c r="F422" s="41">
        <f>IF(I421&lt;'System Assumptions'!$E$29,'Hydrological Data Model'!$E$33/12,'Hydrological Data Model'!$E$33/12)</f>
        <v>183636903.52495179</v>
      </c>
      <c r="G422" s="42">
        <f>IF(I421&lt;'System Assumptions'!$E$29,0,-(MIN('Hydrological Data Model'!$E$34,'Hydrological Data Model'!$E$33-'System Assumptions'!$E$12))/12)</f>
        <v>-125252183.52495177</v>
      </c>
      <c r="H422" s="42">
        <f t="shared" si="74"/>
        <v>13549607334.625124</v>
      </c>
      <c r="I422" s="106">
        <f>H422/'System Assumptions'!$F$15</f>
        <v>15.252270619126433</v>
      </c>
      <c r="J422" s="42">
        <f>'System Assumptions'!$E$30+'System Assumptions'!$E$28-'Data Model Calculations'!I422</f>
        <v>64.501329380873571</v>
      </c>
      <c r="K422" s="45">
        <f t="shared" si="70"/>
        <v>53.92672964334718</v>
      </c>
      <c r="L422" s="46">
        <f t="shared" si="71"/>
        <v>730686011507843.13</v>
      </c>
      <c r="M422" s="47">
        <f>D422/1000*('System Assumptions'!$F$20*1000000)</f>
        <v>276691425000.00018</v>
      </c>
      <c r="N422" s="48"/>
      <c r="O422" s="49">
        <f>(F422/1000)*('System Assumptions'!$F$21*1000000)</f>
        <v>6427291623373.3125</v>
      </c>
      <c r="P422" s="49">
        <f t="shared" si="75"/>
        <v>-6754440638188.9775</v>
      </c>
      <c r="Q422" s="48">
        <f t="shared" si="72"/>
        <v>730635553918027.5</v>
      </c>
      <c r="R422" s="53">
        <f t="shared" si="73"/>
        <v>53.923005728065398</v>
      </c>
      <c r="S422" s="52">
        <v>35</v>
      </c>
    </row>
    <row r="423" spans="1:19">
      <c r="A423" s="3">
        <f t="shared" si="68"/>
        <v>36</v>
      </c>
      <c r="B423" s="3">
        <f t="shared" si="76"/>
        <v>421</v>
      </c>
      <c r="C423" s="40">
        <f t="shared" si="69"/>
        <v>13549607334.625124</v>
      </c>
      <c r="D423" s="41">
        <f>'System Assumptions'!$E$11/12</f>
        <v>75242280</v>
      </c>
      <c r="E423" s="41">
        <f>-'System Assumptions'!$E$10/12</f>
        <v>-133627000</v>
      </c>
      <c r="F423" s="41">
        <f>IF(I422&lt;'System Assumptions'!$E$29,'Hydrological Data Model'!$E$33/12,'Hydrological Data Model'!$E$33/12)</f>
        <v>183636903.52495179</v>
      </c>
      <c r="G423" s="42">
        <f>IF(I422&lt;'System Assumptions'!$E$29,0,-(MIN('Hydrological Data Model'!$E$34,'Hydrological Data Model'!$E$33-'System Assumptions'!$E$12))/12)</f>
        <v>-125252183.52495177</v>
      </c>
      <c r="H423" s="42">
        <f t="shared" si="74"/>
        <v>13549607334.625124</v>
      </c>
      <c r="I423" s="106">
        <f>H423/'System Assumptions'!$F$15</f>
        <v>15.252270619126433</v>
      </c>
      <c r="J423" s="42">
        <f>'System Assumptions'!$E$30+'System Assumptions'!$E$28-'Data Model Calculations'!I423</f>
        <v>64.501329380873571</v>
      </c>
      <c r="K423" s="45">
        <f t="shared" si="70"/>
        <v>53.923005728065398</v>
      </c>
      <c r="L423" s="46">
        <f t="shared" si="71"/>
        <v>730635553918027.5</v>
      </c>
      <c r="M423" s="47">
        <f>D423/1000*('System Assumptions'!$F$20*1000000)</f>
        <v>276691425000.00018</v>
      </c>
      <c r="N423" s="48"/>
      <c r="O423" s="49">
        <f>(F423/1000)*('System Assumptions'!$F$21*1000000)</f>
        <v>6427291623373.3125</v>
      </c>
      <c r="P423" s="49">
        <f t="shared" si="75"/>
        <v>-6753974209668.6729</v>
      </c>
      <c r="Q423" s="48">
        <f t="shared" si="72"/>
        <v>730585562756732.13</v>
      </c>
      <c r="R423" s="53">
        <f t="shared" si="73"/>
        <v>53.919316236550202</v>
      </c>
      <c r="S423" s="52">
        <v>35</v>
      </c>
    </row>
    <row r="424" spans="1:19">
      <c r="A424" s="3">
        <f t="shared" si="68"/>
        <v>36</v>
      </c>
      <c r="B424" s="3">
        <f t="shared" si="76"/>
        <v>422</v>
      </c>
      <c r="C424" s="40">
        <f t="shared" si="69"/>
        <v>13549607334.625124</v>
      </c>
      <c r="D424" s="41">
        <f>'System Assumptions'!$E$11/12</f>
        <v>75242280</v>
      </c>
      <c r="E424" s="41">
        <f>-'System Assumptions'!$E$10/12</f>
        <v>-133627000</v>
      </c>
      <c r="F424" s="41">
        <f>IF(I423&lt;'System Assumptions'!$E$29,'Hydrological Data Model'!$E$33/12,'Hydrological Data Model'!$E$33/12)</f>
        <v>183636903.52495179</v>
      </c>
      <c r="G424" s="42">
        <f>IF(I423&lt;'System Assumptions'!$E$29,0,-(MIN('Hydrological Data Model'!$E$34,'Hydrological Data Model'!$E$33-'System Assumptions'!$E$12))/12)</f>
        <v>-125252183.52495177</v>
      </c>
      <c r="H424" s="42">
        <f t="shared" si="74"/>
        <v>13549607334.625124</v>
      </c>
      <c r="I424" s="106">
        <f>H424/'System Assumptions'!$F$15</f>
        <v>15.252270619126433</v>
      </c>
      <c r="J424" s="42">
        <f>'System Assumptions'!$E$30+'System Assumptions'!$E$28-'Data Model Calculations'!I424</f>
        <v>64.501329380873571</v>
      </c>
      <c r="K424" s="45">
        <f t="shared" si="70"/>
        <v>53.919316236550202</v>
      </c>
      <c r="L424" s="46">
        <f t="shared" si="71"/>
        <v>730585562756732.13</v>
      </c>
      <c r="M424" s="47">
        <f>D424/1000*('System Assumptions'!$F$20*1000000)</f>
        <v>276691425000.00018</v>
      </c>
      <c r="N424" s="48"/>
      <c r="O424" s="49">
        <f>(F424/1000)*('System Assumptions'!$F$21*1000000)</f>
        <v>6427291623373.3125</v>
      </c>
      <c r="P424" s="49">
        <f t="shared" si="75"/>
        <v>-6753512092800.2969</v>
      </c>
      <c r="Q424" s="48">
        <f t="shared" si="72"/>
        <v>730536033712305.25</v>
      </c>
      <c r="R424" s="53">
        <f t="shared" si="73"/>
        <v>53.91566085058929</v>
      </c>
      <c r="S424" s="52">
        <v>35</v>
      </c>
    </row>
    <row r="425" spans="1:19">
      <c r="A425" s="3">
        <f t="shared" si="68"/>
        <v>36</v>
      </c>
      <c r="B425" s="3">
        <f t="shared" si="76"/>
        <v>423</v>
      </c>
      <c r="C425" s="40">
        <f t="shared" si="69"/>
        <v>13549607334.625124</v>
      </c>
      <c r="D425" s="41">
        <f>'System Assumptions'!$E$11/12</f>
        <v>75242280</v>
      </c>
      <c r="E425" s="41">
        <f>-'System Assumptions'!$E$10/12</f>
        <v>-133627000</v>
      </c>
      <c r="F425" s="41">
        <f>IF(I424&lt;'System Assumptions'!$E$29,'Hydrological Data Model'!$E$33/12,'Hydrological Data Model'!$E$33/12)</f>
        <v>183636903.52495179</v>
      </c>
      <c r="G425" s="42">
        <f>IF(I424&lt;'System Assumptions'!$E$29,0,-(MIN('Hydrological Data Model'!$E$34,'Hydrological Data Model'!$E$33-'System Assumptions'!$E$12))/12)</f>
        <v>-125252183.52495177</v>
      </c>
      <c r="H425" s="42">
        <f t="shared" si="74"/>
        <v>13549607334.625124</v>
      </c>
      <c r="I425" s="106">
        <f>H425/'System Assumptions'!$F$15</f>
        <v>15.252270619126433</v>
      </c>
      <c r="J425" s="42">
        <f>'System Assumptions'!$E$30+'System Assumptions'!$E$28-'Data Model Calculations'!I425</f>
        <v>64.501329380873571</v>
      </c>
      <c r="K425" s="45">
        <f t="shared" si="70"/>
        <v>53.91566085058929</v>
      </c>
      <c r="L425" s="46">
        <f t="shared" si="71"/>
        <v>730536033712305.25</v>
      </c>
      <c r="M425" s="47">
        <f>D425/1000*('System Assumptions'!$F$20*1000000)</f>
        <v>276691425000.00018</v>
      </c>
      <c r="N425" s="48"/>
      <c r="O425" s="49">
        <f>(F425/1000)*('System Assumptions'!$F$21*1000000)</f>
        <v>6427291623373.3125</v>
      </c>
      <c r="P425" s="49">
        <f t="shared" si="75"/>
        <v>-6753054247727.0674</v>
      </c>
      <c r="Q425" s="48">
        <f t="shared" si="72"/>
        <v>730486962512951.38</v>
      </c>
      <c r="R425" s="53">
        <f t="shared" si="73"/>
        <v>53.912039254911868</v>
      </c>
      <c r="S425" s="52">
        <v>35</v>
      </c>
    </row>
    <row r="426" spans="1:19">
      <c r="A426" s="3">
        <f t="shared" si="68"/>
        <v>36</v>
      </c>
      <c r="B426" s="3">
        <f t="shared" si="76"/>
        <v>424</v>
      </c>
      <c r="C426" s="40">
        <f t="shared" si="69"/>
        <v>13549607334.625124</v>
      </c>
      <c r="D426" s="41">
        <f>'System Assumptions'!$E$11/12</f>
        <v>75242280</v>
      </c>
      <c r="E426" s="41">
        <f>-'System Assumptions'!$E$10/12</f>
        <v>-133627000</v>
      </c>
      <c r="F426" s="41">
        <f>IF(I425&lt;'System Assumptions'!$E$29,'Hydrological Data Model'!$E$33/12,'Hydrological Data Model'!$E$33/12)</f>
        <v>183636903.52495179</v>
      </c>
      <c r="G426" s="42">
        <f>IF(I425&lt;'System Assumptions'!$E$29,0,-(MIN('Hydrological Data Model'!$E$34,'Hydrological Data Model'!$E$33-'System Assumptions'!$E$12))/12)</f>
        <v>-125252183.52495177</v>
      </c>
      <c r="H426" s="42">
        <f t="shared" si="74"/>
        <v>13549607334.625124</v>
      </c>
      <c r="I426" s="106">
        <f>H426/'System Assumptions'!$F$15</f>
        <v>15.252270619126433</v>
      </c>
      <c r="J426" s="42">
        <f>'System Assumptions'!$E$30+'System Assumptions'!$E$28-'Data Model Calculations'!I426</f>
        <v>64.501329380873571</v>
      </c>
      <c r="K426" s="45">
        <f t="shared" si="70"/>
        <v>53.912039254911868</v>
      </c>
      <c r="L426" s="46">
        <f t="shared" si="71"/>
        <v>730486962512951.38</v>
      </c>
      <c r="M426" s="47">
        <f>D426/1000*('System Assumptions'!$F$20*1000000)</f>
        <v>276691425000.00018</v>
      </c>
      <c r="N426" s="48"/>
      <c r="O426" s="49">
        <f>(F426/1000)*('System Assumptions'!$F$21*1000000)</f>
        <v>6427291623373.3125</v>
      </c>
      <c r="P426" s="49">
        <f t="shared" si="75"/>
        <v>-6752600634960.625</v>
      </c>
      <c r="Q426" s="48">
        <f t="shared" si="72"/>
        <v>730438344926364.13</v>
      </c>
      <c r="R426" s="53">
        <f t="shared" si="73"/>
        <v>53.908451137161542</v>
      </c>
      <c r="S426" s="52">
        <v>35</v>
      </c>
    </row>
    <row r="427" spans="1:19">
      <c r="A427" s="3">
        <f t="shared" ref="A427:A490" si="77">IF(MOD(B427,12)=1,A426+1,A426)</f>
        <v>36</v>
      </c>
      <c r="B427" s="3">
        <f t="shared" si="76"/>
        <v>425</v>
      </c>
      <c r="C427" s="40">
        <f t="shared" ref="C427:C490" si="78">H426</f>
        <v>13549607334.625124</v>
      </c>
      <c r="D427" s="41">
        <f>'System Assumptions'!$E$11/12</f>
        <v>75242280</v>
      </c>
      <c r="E427" s="41">
        <f>-'System Assumptions'!$E$10/12</f>
        <v>-133627000</v>
      </c>
      <c r="F427" s="41">
        <f>IF(I426&lt;'System Assumptions'!$E$29,'Hydrological Data Model'!$E$33/12,'Hydrological Data Model'!$E$33/12)</f>
        <v>183636903.52495179</v>
      </c>
      <c r="G427" s="42">
        <f>IF(I426&lt;'System Assumptions'!$E$29,0,-(MIN('Hydrological Data Model'!$E$34,'Hydrological Data Model'!$E$33-'System Assumptions'!$E$12))/12)</f>
        <v>-125252183.52495177</v>
      </c>
      <c r="H427" s="42">
        <f t="shared" si="74"/>
        <v>13549607334.625124</v>
      </c>
      <c r="I427" s="106">
        <f>H427/'System Assumptions'!$F$15</f>
        <v>15.252270619126433</v>
      </c>
      <c r="J427" s="42">
        <f>'System Assumptions'!$E$30+'System Assumptions'!$E$28-'Data Model Calculations'!I427</f>
        <v>64.501329380873571</v>
      </c>
      <c r="K427" s="45">
        <f t="shared" ref="K427:K490" si="79">R426</f>
        <v>53.908451137161542</v>
      </c>
      <c r="L427" s="46">
        <f t="shared" ref="L427:L490" si="80">Q426</f>
        <v>730438344926364.13</v>
      </c>
      <c r="M427" s="47">
        <f>D427/1000*('System Assumptions'!$F$20*1000000)</f>
        <v>276691425000.00018</v>
      </c>
      <c r="N427" s="48"/>
      <c r="O427" s="49">
        <f>(F427/1000)*('System Assumptions'!$F$21*1000000)</f>
        <v>6427291623373.3125</v>
      </c>
      <c r="P427" s="49">
        <f t="shared" si="75"/>
        <v>-6752151215377.6523</v>
      </c>
      <c r="Q427" s="48">
        <f t="shared" ref="Q427:Q490" si="81">SUM(L427:P427)</f>
        <v>730390176759359.88</v>
      </c>
      <c r="R427" s="53">
        <f t="shared" ref="R427:R490" si="82">(Q427*1000)/(H427*1000000)</f>
        <v>53.904896187869312</v>
      </c>
      <c r="S427" s="52">
        <v>35</v>
      </c>
    </row>
    <row r="428" spans="1:19">
      <c r="A428" s="3">
        <f t="shared" si="77"/>
        <v>36</v>
      </c>
      <c r="B428" s="3">
        <f t="shared" si="76"/>
        <v>426</v>
      </c>
      <c r="C428" s="40">
        <f t="shared" si="78"/>
        <v>13549607334.625124</v>
      </c>
      <c r="D428" s="41">
        <f>'System Assumptions'!$E$11/12</f>
        <v>75242280</v>
      </c>
      <c r="E428" s="41">
        <f>-'System Assumptions'!$E$10/12</f>
        <v>-133627000</v>
      </c>
      <c r="F428" s="41">
        <f>IF(I427&lt;'System Assumptions'!$E$29,'Hydrological Data Model'!$E$33/12,'Hydrological Data Model'!$E$33/12)</f>
        <v>183636903.52495179</v>
      </c>
      <c r="G428" s="42">
        <f>IF(I427&lt;'System Assumptions'!$E$29,0,-(MIN('Hydrological Data Model'!$E$34,'Hydrological Data Model'!$E$33-'System Assumptions'!$E$12))/12)</f>
        <v>-125252183.52495177</v>
      </c>
      <c r="H428" s="42">
        <f t="shared" si="74"/>
        <v>13549607334.625124</v>
      </c>
      <c r="I428" s="106">
        <f>H428/'System Assumptions'!$F$15</f>
        <v>15.252270619126433</v>
      </c>
      <c r="J428" s="42">
        <f>'System Assumptions'!$E$30+'System Assumptions'!$E$28-'Data Model Calculations'!I428</f>
        <v>64.501329380873571</v>
      </c>
      <c r="K428" s="45">
        <f t="shared" si="79"/>
        <v>53.904896187869312</v>
      </c>
      <c r="L428" s="46">
        <f t="shared" si="80"/>
        <v>730390176759359.88</v>
      </c>
      <c r="M428" s="47">
        <f>D428/1000*('System Assumptions'!$F$20*1000000)</f>
        <v>276691425000.00018</v>
      </c>
      <c r="N428" s="48"/>
      <c r="O428" s="49">
        <f>(F428/1000)*('System Assumptions'!$F$21*1000000)</f>
        <v>6427291623373.3125</v>
      </c>
      <c r="P428" s="49">
        <f t="shared" si="75"/>
        <v>-6751705950216.4805</v>
      </c>
      <c r="Q428" s="48">
        <f t="shared" si="81"/>
        <v>730342453857516.75</v>
      </c>
      <c r="R428" s="53">
        <f t="shared" si="82"/>
        <v>53.901374100426885</v>
      </c>
      <c r="S428" s="52">
        <v>35</v>
      </c>
    </row>
    <row r="429" spans="1:19">
      <c r="A429" s="3">
        <f t="shared" si="77"/>
        <v>36</v>
      </c>
      <c r="B429" s="3">
        <f t="shared" si="76"/>
        <v>427</v>
      </c>
      <c r="C429" s="40">
        <f t="shared" si="78"/>
        <v>13549607334.625124</v>
      </c>
      <c r="D429" s="41">
        <f>'System Assumptions'!$E$11/12</f>
        <v>75242280</v>
      </c>
      <c r="E429" s="41">
        <f>-'System Assumptions'!$E$10/12</f>
        <v>-133627000</v>
      </c>
      <c r="F429" s="41">
        <f>IF(I428&lt;'System Assumptions'!$E$29,'Hydrological Data Model'!$E$33/12,'Hydrological Data Model'!$E$33/12)</f>
        <v>183636903.52495179</v>
      </c>
      <c r="G429" s="42">
        <f>IF(I428&lt;'System Assumptions'!$E$29,0,-(MIN('Hydrological Data Model'!$E$34,'Hydrological Data Model'!$E$33-'System Assumptions'!$E$12))/12)</f>
        <v>-125252183.52495177</v>
      </c>
      <c r="H429" s="42">
        <f t="shared" si="74"/>
        <v>13549607334.625124</v>
      </c>
      <c r="I429" s="106">
        <f>H429/'System Assumptions'!$F$15</f>
        <v>15.252270619126433</v>
      </c>
      <c r="J429" s="42">
        <f>'System Assumptions'!$E$30+'System Assumptions'!$E$28-'Data Model Calculations'!I429</f>
        <v>64.501329380873571</v>
      </c>
      <c r="K429" s="45">
        <f t="shared" si="79"/>
        <v>53.901374100426885</v>
      </c>
      <c r="L429" s="46">
        <f t="shared" si="80"/>
        <v>730342453857516.75</v>
      </c>
      <c r="M429" s="47">
        <f>D429/1000*('System Assumptions'!$F$20*1000000)</f>
        <v>276691425000.00018</v>
      </c>
      <c r="N429" s="48"/>
      <c r="O429" s="49">
        <f>(F429/1000)*('System Assumptions'!$F$21*1000000)</f>
        <v>6427291623373.3125</v>
      </c>
      <c r="P429" s="49">
        <f t="shared" si="75"/>
        <v>-6751264801073.75</v>
      </c>
      <c r="Q429" s="48">
        <f t="shared" si="81"/>
        <v>730295172104816.25</v>
      </c>
      <c r="R429" s="53">
        <f t="shared" si="82"/>
        <v>53.897884571060246</v>
      </c>
      <c r="S429" s="52">
        <v>35</v>
      </c>
    </row>
    <row r="430" spans="1:19">
      <c r="A430" s="3">
        <f t="shared" si="77"/>
        <v>36</v>
      </c>
      <c r="B430" s="3">
        <f t="shared" si="76"/>
        <v>428</v>
      </c>
      <c r="C430" s="40">
        <f t="shared" si="78"/>
        <v>13549607334.625124</v>
      </c>
      <c r="D430" s="41">
        <f>'System Assumptions'!$E$11/12</f>
        <v>75242280</v>
      </c>
      <c r="E430" s="41">
        <f>-'System Assumptions'!$E$10/12</f>
        <v>-133627000</v>
      </c>
      <c r="F430" s="41">
        <f>IF(I429&lt;'System Assumptions'!$E$29,'Hydrological Data Model'!$E$33/12,'Hydrological Data Model'!$E$33/12)</f>
        <v>183636903.52495179</v>
      </c>
      <c r="G430" s="42">
        <f>IF(I429&lt;'System Assumptions'!$E$29,0,-(MIN('Hydrological Data Model'!$E$34,'Hydrological Data Model'!$E$33-'System Assumptions'!$E$12))/12)</f>
        <v>-125252183.52495177</v>
      </c>
      <c r="H430" s="42">
        <f t="shared" si="74"/>
        <v>13549607334.625124</v>
      </c>
      <c r="I430" s="106">
        <f>H430/'System Assumptions'!$F$15</f>
        <v>15.252270619126433</v>
      </c>
      <c r="J430" s="42">
        <f>'System Assumptions'!$E$30+'System Assumptions'!$E$28-'Data Model Calculations'!I430</f>
        <v>64.501329380873571</v>
      </c>
      <c r="K430" s="45">
        <f t="shared" si="79"/>
        <v>53.897884571060246</v>
      </c>
      <c r="L430" s="46">
        <f t="shared" si="80"/>
        <v>730295172104816.25</v>
      </c>
      <c r="M430" s="47">
        <f>D430/1000*('System Assumptions'!$F$20*1000000)</f>
        <v>276691425000.00018</v>
      </c>
      <c r="N430" s="48"/>
      <c r="O430" s="49">
        <f>(F430/1000)*('System Assumptions'!$F$21*1000000)</f>
        <v>6427291623373.3125</v>
      </c>
      <c r="P430" s="49">
        <f t="shared" si="75"/>
        <v>-6750827729901.1035</v>
      </c>
      <c r="Q430" s="48">
        <f t="shared" si="81"/>
        <v>730248327423288.38</v>
      </c>
      <c r="R430" s="53">
        <f t="shared" si="82"/>
        <v>53.894427298803492</v>
      </c>
      <c r="S430" s="52">
        <v>35</v>
      </c>
    </row>
    <row r="431" spans="1:19">
      <c r="A431" s="3">
        <f t="shared" si="77"/>
        <v>36</v>
      </c>
      <c r="B431" s="3">
        <f t="shared" si="76"/>
        <v>429</v>
      </c>
      <c r="C431" s="40">
        <f t="shared" si="78"/>
        <v>13549607334.625124</v>
      </c>
      <c r="D431" s="41">
        <f>'System Assumptions'!$E$11/12</f>
        <v>75242280</v>
      </c>
      <c r="E431" s="41">
        <f>-'System Assumptions'!$E$10/12</f>
        <v>-133627000</v>
      </c>
      <c r="F431" s="41">
        <f>IF(I430&lt;'System Assumptions'!$E$29,'Hydrological Data Model'!$E$33/12,'Hydrological Data Model'!$E$33/12)</f>
        <v>183636903.52495179</v>
      </c>
      <c r="G431" s="42">
        <f>IF(I430&lt;'System Assumptions'!$E$29,0,-(MIN('Hydrological Data Model'!$E$34,'Hydrological Data Model'!$E$33-'System Assumptions'!$E$12))/12)</f>
        <v>-125252183.52495177</v>
      </c>
      <c r="H431" s="42">
        <f t="shared" si="74"/>
        <v>13549607334.625124</v>
      </c>
      <c r="I431" s="106">
        <f>H431/'System Assumptions'!$F$15</f>
        <v>15.252270619126433</v>
      </c>
      <c r="J431" s="42">
        <f>'System Assumptions'!$E$30+'System Assumptions'!$E$28-'Data Model Calculations'!I431</f>
        <v>64.501329380873571</v>
      </c>
      <c r="K431" s="45">
        <f t="shared" si="79"/>
        <v>53.894427298803492</v>
      </c>
      <c r="L431" s="46">
        <f t="shared" si="80"/>
        <v>730248327423288.38</v>
      </c>
      <c r="M431" s="47">
        <f>D431/1000*('System Assumptions'!$F$20*1000000)</f>
        <v>276691425000.00018</v>
      </c>
      <c r="N431" s="48"/>
      <c r="O431" s="49">
        <f>(F431/1000)*('System Assumptions'!$F$21*1000000)</f>
        <v>6427291623373.3125</v>
      </c>
      <c r="P431" s="49">
        <f t="shared" si="75"/>
        <v>-6750394699001.9053</v>
      </c>
      <c r="Q431" s="48">
        <f t="shared" si="81"/>
        <v>730201915772659.88</v>
      </c>
      <c r="R431" s="53">
        <f t="shared" si="82"/>
        <v>53.891001985472833</v>
      </c>
      <c r="S431" s="52">
        <v>35</v>
      </c>
    </row>
    <row r="432" spans="1:19">
      <c r="A432" s="3">
        <f t="shared" si="77"/>
        <v>36</v>
      </c>
      <c r="B432" s="3">
        <f t="shared" si="76"/>
        <v>430</v>
      </c>
      <c r="C432" s="40">
        <f t="shared" si="78"/>
        <v>13549607334.625124</v>
      </c>
      <c r="D432" s="41">
        <f>'System Assumptions'!$E$11/12</f>
        <v>75242280</v>
      </c>
      <c r="E432" s="41">
        <f>-'System Assumptions'!$E$10/12</f>
        <v>-133627000</v>
      </c>
      <c r="F432" s="41">
        <f>IF(I431&lt;'System Assumptions'!$E$29,'Hydrological Data Model'!$E$33/12,'Hydrological Data Model'!$E$33/12)</f>
        <v>183636903.52495179</v>
      </c>
      <c r="G432" s="42">
        <f>IF(I431&lt;'System Assumptions'!$E$29,0,-(MIN('Hydrological Data Model'!$E$34,'Hydrological Data Model'!$E$33-'System Assumptions'!$E$12))/12)</f>
        <v>-125252183.52495177</v>
      </c>
      <c r="H432" s="42">
        <f t="shared" si="74"/>
        <v>13549607334.625124</v>
      </c>
      <c r="I432" s="106">
        <f>H432/'System Assumptions'!$F$15</f>
        <v>15.252270619126433</v>
      </c>
      <c r="J432" s="42">
        <f>'System Assumptions'!$E$30+'System Assumptions'!$E$28-'Data Model Calculations'!I432</f>
        <v>64.501329380873571</v>
      </c>
      <c r="K432" s="45">
        <f t="shared" si="79"/>
        <v>53.891001985472833</v>
      </c>
      <c r="L432" s="46">
        <f t="shared" si="80"/>
        <v>730201915772659.88</v>
      </c>
      <c r="M432" s="47">
        <f>D432/1000*('System Assumptions'!$F$20*1000000)</f>
        <v>276691425000.00018</v>
      </c>
      <c r="N432" s="48"/>
      <c r="O432" s="49">
        <f>(F432/1000)*('System Assumptions'!$F$21*1000000)</f>
        <v>6427291623373.3125</v>
      </c>
      <c r="P432" s="49">
        <f t="shared" si="75"/>
        <v>-6749965671027.9834</v>
      </c>
      <c r="Q432" s="48">
        <f t="shared" si="81"/>
        <v>730155933150005.25</v>
      </c>
      <c r="R432" s="53">
        <f t="shared" si="82"/>
        <v>53.887608335640849</v>
      </c>
      <c r="S432" s="52">
        <v>35</v>
      </c>
    </row>
    <row r="433" spans="1:19">
      <c r="A433" s="3">
        <f t="shared" si="77"/>
        <v>36</v>
      </c>
      <c r="B433" s="3">
        <f t="shared" si="76"/>
        <v>431</v>
      </c>
      <c r="C433" s="40">
        <f t="shared" si="78"/>
        <v>13549607334.625124</v>
      </c>
      <c r="D433" s="41">
        <f>'System Assumptions'!$E$11/12</f>
        <v>75242280</v>
      </c>
      <c r="E433" s="41">
        <f>-'System Assumptions'!$E$10/12</f>
        <v>-133627000</v>
      </c>
      <c r="F433" s="41">
        <f>IF(I432&lt;'System Assumptions'!$E$29,'Hydrological Data Model'!$E$33/12,'Hydrological Data Model'!$E$33/12)</f>
        <v>183636903.52495179</v>
      </c>
      <c r="G433" s="42">
        <f>IF(I432&lt;'System Assumptions'!$E$29,0,-(MIN('Hydrological Data Model'!$E$34,'Hydrological Data Model'!$E$33-'System Assumptions'!$E$12))/12)</f>
        <v>-125252183.52495177</v>
      </c>
      <c r="H433" s="42">
        <f t="shared" si="74"/>
        <v>13549607334.625124</v>
      </c>
      <c r="I433" s="106">
        <f>H433/'System Assumptions'!$F$15</f>
        <v>15.252270619126433</v>
      </c>
      <c r="J433" s="42">
        <f>'System Assumptions'!$E$30+'System Assumptions'!$E$28-'Data Model Calculations'!I433</f>
        <v>64.501329380873571</v>
      </c>
      <c r="K433" s="45">
        <f t="shared" si="79"/>
        <v>53.887608335640849</v>
      </c>
      <c r="L433" s="46">
        <f t="shared" si="80"/>
        <v>730155933150005.25</v>
      </c>
      <c r="M433" s="47">
        <f>D433/1000*('System Assumptions'!$F$20*1000000)</f>
        <v>276691425000.00018</v>
      </c>
      <c r="N433" s="48"/>
      <c r="O433" s="49">
        <f>(F433/1000)*('System Assumptions'!$F$21*1000000)</f>
        <v>6427291623373.3125</v>
      </c>
      <c r="P433" s="49">
        <f t="shared" si="75"/>
        <v>-6749540608976.4082</v>
      </c>
      <c r="Q433" s="48">
        <f t="shared" si="81"/>
        <v>730110375589402.13</v>
      </c>
      <c r="R433" s="53">
        <f t="shared" si="82"/>
        <v>53.884246056611062</v>
      </c>
      <c r="S433" s="52">
        <v>35</v>
      </c>
    </row>
    <row r="434" spans="1:19">
      <c r="A434" s="3">
        <f t="shared" si="77"/>
        <v>36</v>
      </c>
      <c r="B434" s="3">
        <f t="shared" si="76"/>
        <v>432</v>
      </c>
      <c r="C434" s="40">
        <f t="shared" si="78"/>
        <v>13549607334.625124</v>
      </c>
      <c r="D434" s="41">
        <f>'System Assumptions'!$E$11/12</f>
        <v>75242280</v>
      </c>
      <c r="E434" s="41">
        <f>-'System Assumptions'!$E$10/12</f>
        <v>-133627000</v>
      </c>
      <c r="F434" s="41">
        <f>IF(I433&lt;'System Assumptions'!$E$29,'Hydrological Data Model'!$E$33/12,'Hydrological Data Model'!$E$33/12)</f>
        <v>183636903.52495179</v>
      </c>
      <c r="G434" s="42">
        <f>IF(I433&lt;'System Assumptions'!$E$29,0,-(MIN('Hydrological Data Model'!$E$34,'Hydrological Data Model'!$E$33-'System Assumptions'!$E$12))/12)</f>
        <v>-125252183.52495177</v>
      </c>
      <c r="H434" s="42">
        <f t="shared" si="74"/>
        <v>13549607334.625124</v>
      </c>
      <c r="I434" s="106">
        <f>H434/'System Assumptions'!$F$15</f>
        <v>15.252270619126433</v>
      </c>
      <c r="J434" s="42">
        <f>'System Assumptions'!$E$30+'System Assumptions'!$E$28-'Data Model Calculations'!I434</f>
        <v>64.501329380873571</v>
      </c>
      <c r="K434" s="45">
        <f t="shared" si="79"/>
        <v>53.884246056611062</v>
      </c>
      <c r="L434" s="46">
        <f t="shared" si="80"/>
        <v>730110375589402.13</v>
      </c>
      <c r="M434" s="47">
        <f>D434/1000*('System Assumptions'!$F$20*1000000)</f>
        <v>276691425000.00018</v>
      </c>
      <c r="N434" s="48"/>
      <c r="O434" s="49">
        <f>(F434/1000)*('System Assumptions'!$F$21*1000000)</f>
        <v>6427291623373.3125</v>
      </c>
      <c r="P434" s="49">
        <f t="shared" si="75"/>
        <v>-6749119476186.3066</v>
      </c>
      <c r="Q434" s="48">
        <f t="shared" si="81"/>
        <v>730065239161589.25</v>
      </c>
      <c r="R434" s="53">
        <f t="shared" si="82"/>
        <v>53.880914858392678</v>
      </c>
      <c r="S434" s="52">
        <v>35</v>
      </c>
    </row>
    <row r="435" spans="1:19">
      <c r="A435" s="3">
        <f t="shared" si="77"/>
        <v>37</v>
      </c>
      <c r="B435" s="3">
        <f t="shared" si="76"/>
        <v>433</v>
      </c>
      <c r="C435" s="40">
        <f t="shared" si="78"/>
        <v>13549607334.625124</v>
      </c>
      <c r="D435" s="41">
        <f>'System Assumptions'!$E$11/12</f>
        <v>75242280</v>
      </c>
      <c r="E435" s="41">
        <f>-'System Assumptions'!$E$10/12</f>
        <v>-133627000</v>
      </c>
      <c r="F435" s="41">
        <f>IF(I434&lt;'System Assumptions'!$E$29,'Hydrological Data Model'!$E$33/12,'Hydrological Data Model'!$E$33/12)</f>
        <v>183636903.52495179</v>
      </c>
      <c r="G435" s="42">
        <f>IF(I434&lt;'System Assumptions'!$E$29,0,-(MIN('Hydrological Data Model'!$E$34,'Hydrological Data Model'!$E$33-'System Assumptions'!$E$12))/12)</f>
        <v>-125252183.52495177</v>
      </c>
      <c r="H435" s="42">
        <f t="shared" si="74"/>
        <v>13549607334.625124</v>
      </c>
      <c r="I435" s="106">
        <f>H435/'System Assumptions'!$F$15</f>
        <v>15.252270619126433</v>
      </c>
      <c r="J435" s="42">
        <f>'System Assumptions'!$E$30+'System Assumptions'!$E$28-'Data Model Calculations'!I435</f>
        <v>64.501329380873571</v>
      </c>
      <c r="K435" s="45">
        <f t="shared" si="79"/>
        <v>53.880914858392678</v>
      </c>
      <c r="L435" s="46">
        <f t="shared" si="80"/>
        <v>730065239161589.25</v>
      </c>
      <c r="M435" s="47">
        <f>D435/1000*('System Assumptions'!$F$20*1000000)</f>
        <v>276691425000.00018</v>
      </c>
      <c r="N435" s="48"/>
      <c r="O435" s="49">
        <f>(F435/1000)*('System Assumptions'!$F$21*1000000)</f>
        <v>6427291623373.3125</v>
      </c>
      <c r="P435" s="49">
        <f t="shared" si="75"/>
        <v>-6748702236335.7002</v>
      </c>
      <c r="Q435" s="48">
        <f t="shared" si="81"/>
        <v>730020519973626.75</v>
      </c>
      <c r="R435" s="53">
        <f t="shared" si="82"/>
        <v>53.877614453675548</v>
      </c>
      <c r="S435" s="52">
        <v>35</v>
      </c>
    </row>
    <row r="436" spans="1:19">
      <c r="A436" s="3">
        <f t="shared" si="77"/>
        <v>37</v>
      </c>
      <c r="B436" s="3">
        <f t="shared" si="76"/>
        <v>434</v>
      </c>
      <c r="C436" s="40">
        <f t="shared" si="78"/>
        <v>13549607334.625124</v>
      </c>
      <c r="D436" s="41">
        <f>'System Assumptions'!$E$11/12</f>
        <v>75242280</v>
      </c>
      <c r="E436" s="41">
        <f>-'System Assumptions'!$E$10/12</f>
        <v>-133627000</v>
      </c>
      <c r="F436" s="41">
        <f>IF(I435&lt;'System Assumptions'!$E$29,'Hydrological Data Model'!$E$33/12,'Hydrological Data Model'!$E$33/12)</f>
        <v>183636903.52495179</v>
      </c>
      <c r="G436" s="42">
        <f>IF(I435&lt;'System Assumptions'!$E$29,0,-(MIN('Hydrological Data Model'!$E$34,'Hydrological Data Model'!$E$33-'System Assumptions'!$E$12))/12)</f>
        <v>-125252183.52495177</v>
      </c>
      <c r="H436" s="42">
        <f t="shared" si="74"/>
        <v>13549607334.625124</v>
      </c>
      <c r="I436" s="106">
        <f>H436/'System Assumptions'!$F$15</f>
        <v>15.252270619126433</v>
      </c>
      <c r="J436" s="42">
        <f>'System Assumptions'!$E$30+'System Assumptions'!$E$28-'Data Model Calculations'!I436</f>
        <v>64.501329380873571</v>
      </c>
      <c r="K436" s="45">
        <f t="shared" si="79"/>
        <v>53.877614453675548</v>
      </c>
      <c r="L436" s="46">
        <f t="shared" si="80"/>
        <v>730020519973626.75</v>
      </c>
      <c r="M436" s="47">
        <f>D436/1000*('System Assumptions'!$F$20*1000000)</f>
        <v>276691425000.00018</v>
      </c>
      <c r="N436" s="48"/>
      <c r="O436" s="49">
        <f>(F436/1000)*('System Assumptions'!$F$21*1000000)</f>
        <v>6427291623373.3125</v>
      </c>
      <c r="P436" s="49">
        <f t="shared" si="75"/>
        <v>-6748288853438.3643</v>
      </c>
      <c r="Q436" s="48">
        <f t="shared" si="81"/>
        <v>729976214168561.63</v>
      </c>
      <c r="R436" s="53">
        <f t="shared" si="82"/>
        <v>53.874344557805436</v>
      </c>
      <c r="S436" s="52">
        <v>35</v>
      </c>
    </row>
    <row r="437" spans="1:19">
      <c r="A437" s="3">
        <f t="shared" si="77"/>
        <v>37</v>
      </c>
      <c r="B437" s="3">
        <f t="shared" si="76"/>
        <v>435</v>
      </c>
      <c r="C437" s="40">
        <f t="shared" si="78"/>
        <v>13549607334.625124</v>
      </c>
      <c r="D437" s="41">
        <f>'System Assumptions'!$E$11/12</f>
        <v>75242280</v>
      </c>
      <c r="E437" s="41">
        <f>-'System Assumptions'!$E$10/12</f>
        <v>-133627000</v>
      </c>
      <c r="F437" s="41">
        <f>IF(I436&lt;'System Assumptions'!$E$29,'Hydrological Data Model'!$E$33/12,'Hydrological Data Model'!$E$33/12)</f>
        <v>183636903.52495179</v>
      </c>
      <c r="G437" s="42">
        <f>IF(I436&lt;'System Assumptions'!$E$29,0,-(MIN('Hydrological Data Model'!$E$34,'Hydrological Data Model'!$E$33-'System Assumptions'!$E$12))/12)</f>
        <v>-125252183.52495177</v>
      </c>
      <c r="H437" s="42">
        <f t="shared" si="74"/>
        <v>13549607334.625124</v>
      </c>
      <c r="I437" s="106">
        <f>H437/'System Assumptions'!$F$15</f>
        <v>15.252270619126433</v>
      </c>
      <c r="J437" s="42">
        <f>'System Assumptions'!$E$30+'System Assumptions'!$E$28-'Data Model Calculations'!I437</f>
        <v>64.501329380873571</v>
      </c>
      <c r="K437" s="45">
        <f t="shared" si="79"/>
        <v>53.874344557805436</v>
      </c>
      <c r="L437" s="46">
        <f t="shared" si="80"/>
        <v>729976214168561.63</v>
      </c>
      <c r="M437" s="47">
        <f>D437/1000*('System Assumptions'!$F$20*1000000)</f>
        <v>276691425000.00018</v>
      </c>
      <c r="N437" s="48"/>
      <c r="O437" s="49">
        <f>(F437/1000)*('System Assumptions'!$F$21*1000000)</f>
        <v>6427291623373.3125</v>
      </c>
      <c r="P437" s="49">
        <f t="shared" si="75"/>
        <v>-6747879291840.7334</v>
      </c>
      <c r="Q437" s="48">
        <f t="shared" si="81"/>
        <v>729932317925094.25</v>
      </c>
      <c r="R437" s="53">
        <f t="shared" si="82"/>
        <v>53.87110488875944</v>
      </c>
      <c r="S437" s="52">
        <v>35</v>
      </c>
    </row>
    <row r="438" spans="1:19">
      <c r="A438" s="3">
        <f t="shared" si="77"/>
        <v>37</v>
      </c>
      <c r="B438" s="3">
        <f t="shared" si="76"/>
        <v>436</v>
      </c>
      <c r="C438" s="40">
        <f t="shared" si="78"/>
        <v>13549607334.625124</v>
      </c>
      <c r="D438" s="41">
        <f>'System Assumptions'!$E$11/12</f>
        <v>75242280</v>
      </c>
      <c r="E438" s="41">
        <f>-'System Assumptions'!$E$10/12</f>
        <v>-133627000</v>
      </c>
      <c r="F438" s="41">
        <f>IF(I437&lt;'System Assumptions'!$E$29,'Hydrological Data Model'!$E$33/12,'Hydrological Data Model'!$E$33/12)</f>
        <v>183636903.52495179</v>
      </c>
      <c r="G438" s="42">
        <f>IF(I437&lt;'System Assumptions'!$E$29,0,-(MIN('Hydrological Data Model'!$E$34,'Hydrological Data Model'!$E$33-'System Assumptions'!$E$12))/12)</f>
        <v>-125252183.52495177</v>
      </c>
      <c r="H438" s="42">
        <f t="shared" si="74"/>
        <v>13549607334.625124</v>
      </c>
      <c r="I438" s="106">
        <f>H438/'System Assumptions'!$F$15</f>
        <v>15.252270619126433</v>
      </c>
      <c r="J438" s="42">
        <f>'System Assumptions'!$E$30+'System Assumptions'!$E$28-'Data Model Calculations'!I438</f>
        <v>64.501329380873571</v>
      </c>
      <c r="K438" s="45">
        <f t="shared" si="79"/>
        <v>53.87110488875944</v>
      </c>
      <c r="L438" s="46">
        <f t="shared" si="80"/>
        <v>729932317925094.25</v>
      </c>
      <c r="M438" s="47">
        <f>D438/1000*('System Assumptions'!$F$20*1000000)</f>
        <v>276691425000.00018</v>
      </c>
      <c r="N438" s="48"/>
      <c r="O438" s="49">
        <f>(F438/1000)*('System Assumptions'!$F$21*1000000)</f>
        <v>6427291623373.3125</v>
      </c>
      <c r="P438" s="49">
        <f t="shared" si="75"/>
        <v>-6747473516218.8242</v>
      </c>
      <c r="Q438" s="48">
        <f t="shared" si="81"/>
        <v>729888827457248.63</v>
      </c>
      <c r="R438" s="53">
        <f t="shared" si="82"/>
        <v>53.867895167121638</v>
      </c>
      <c r="S438" s="52">
        <v>35</v>
      </c>
    </row>
    <row r="439" spans="1:19">
      <c r="A439" s="3">
        <f t="shared" si="77"/>
        <v>37</v>
      </c>
      <c r="B439" s="3">
        <f t="shared" si="76"/>
        <v>437</v>
      </c>
      <c r="C439" s="40">
        <f t="shared" si="78"/>
        <v>13549607334.625124</v>
      </c>
      <c r="D439" s="41">
        <f>'System Assumptions'!$E$11/12</f>
        <v>75242280</v>
      </c>
      <c r="E439" s="41">
        <f>-'System Assumptions'!$E$10/12</f>
        <v>-133627000</v>
      </c>
      <c r="F439" s="41">
        <f>IF(I438&lt;'System Assumptions'!$E$29,'Hydrological Data Model'!$E$33/12,'Hydrological Data Model'!$E$33/12)</f>
        <v>183636903.52495179</v>
      </c>
      <c r="G439" s="42">
        <f>IF(I438&lt;'System Assumptions'!$E$29,0,-(MIN('Hydrological Data Model'!$E$34,'Hydrological Data Model'!$E$33-'System Assumptions'!$E$12))/12)</f>
        <v>-125252183.52495177</v>
      </c>
      <c r="H439" s="42">
        <f t="shared" si="74"/>
        <v>13549607334.625124</v>
      </c>
      <c r="I439" s="106">
        <f>H439/'System Assumptions'!$F$15</f>
        <v>15.252270619126433</v>
      </c>
      <c r="J439" s="42">
        <f>'System Assumptions'!$E$30+'System Assumptions'!$E$28-'Data Model Calculations'!I439</f>
        <v>64.501329380873571</v>
      </c>
      <c r="K439" s="45">
        <f t="shared" si="79"/>
        <v>53.867895167121638</v>
      </c>
      <c r="L439" s="46">
        <f t="shared" si="80"/>
        <v>729888827457248.63</v>
      </c>
      <c r="M439" s="47">
        <f>D439/1000*('System Assumptions'!$F$20*1000000)</f>
        <v>276691425000.00018</v>
      </c>
      <c r="N439" s="48"/>
      <c r="O439" s="49">
        <f>(F439/1000)*('System Assumptions'!$F$21*1000000)</f>
        <v>6427291623373.3125</v>
      </c>
      <c r="P439" s="49">
        <f t="shared" si="75"/>
        <v>-6747071491575.1816</v>
      </c>
      <c r="Q439" s="48">
        <f t="shared" si="81"/>
        <v>729845739014046.88</v>
      </c>
      <c r="R439" s="53">
        <f t="shared" si="82"/>
        <v>53.864715116059074</v>
      </c>
      <c r="S439" s="52">
        <v>35</v>
      </c>
    </row>
    <row r="440" spans="1:19">
      <c r="A440" s="3">
        <f t="shared" si="77"/>
        <v>37</v>
      </c>
      <c r="B440" s="3">
        <f t="shared" si="76"/>
        <v>438</v>
      </c>
      <c r="C440" s="40">
        <f t="shared" si="78"/>
        <v>13549607334.625124</v>
      </c>
      <c r="D440" s="41">
        <f>'System Assumptions'!$E$11/12</f>
        <v>75242280</v>
      </c>
      <c r="E440" s="41">
        <f>-'System Assumptions'!$E$10/12</f>
        <v>-133627000</v>
      </c>
      <c r="F440" s="41">
        <f>IF(I439&lt;'System Assumptions'!$E$29,'Hydrological Data Model'!$E$33/12,'Hydrological Data Model'!$E$33/12)</f>
        <v>183636903.52495179</v>
      </c>
      <c r="G440" s="42">
        <f>IF(I439&lt;'System Assumptions'!$E$29,0,-(MIN('Hydrological Data Model'!$E$34,'Hydrological Data Model'!$E$33-'System Assumptions'!$E$12))/12)</f>
        <v>-125252183.52495177</v>
      </c>
      <c r="H440" s="42">
        <f t="shared" si="74"/>
        <v>13549607334.625124</v>
      </c>
      <c r="I440" s="106">
        <f>H440/'System Assumptions'!$F$15</f>
        <v>15.252270619126433</v>
      </c>
      <c r="J440" s="42">
        <f>'System Assumptions'!$E$30+'System Assumptions'!$E$28-'Data Model Calculations'!I440</f>
        <v>64.501329380873571</v>
      </c>
      <c r="K440" s="45">
        <f t="shared" si="79"/>
        <v>53.864715116059074</v>
      </c>
      <c r="L440" s="46">
        <f t="shared" si="80"/>
        <v>729845739014046.88</v>
      </c>
      <c r="M440" s="47">
        <f>D440/1000*('System Assumptions'!$F$20*1000000)</f>
        <v>276691425000.00018</v>
      </c>
      <c r="N440" s="48"/>
      <c r="O440" s="49">
        <f>(F440/1000)*('System Assumptions'!$F$21*1000000)</f>
        <v>6427291623373.3125</v>
      </c>
      <c r="P440" s="49">
        <f t="shared" si="75"/>
        <v>-6746673183235.875</v>
      </c>
      <c r="Q440" s="48">
        <f t="shared" si="81"/>
        <v>729803048879184.38</v>
      </c>
      <c r="R440" s="53">
        <f t="shared" si="82"/>
        <v>53.861564461297782</v>
      </c>
      <c r="S440" s="52">
        <v>35</v>
      </c>
    </row>
    <row r="441" spans="1:19">
      <c r="A441" s="3">
        <f t="shared" si="77"/>
        <v>37</v>
      </c>
      <c r="B441" s="3">
        <f t="shared" si="76"/>
        <v>439</v>
      </c>
      <c r="C441" s="40">
        <f t="shared" si="78"/>
        <v>13549607334.625124</v>
      </c>
      <c r="D441" s="41">
        <f>'System Assumptions'!$E$11/12</f>
        <v>75242280</v>
      </c>
      <c r="E441" s="41">
        <f>-'System Assumptions'!$E$10/12</f>
        <v>-133627000</v>
      </c>
      <c r="F441" s="41">
        <f>IF(I440&lt;'System Assumptions'!$E$29,'Hydrological Data Model'!$E$33/12,'Hydrological Data Model'!$E$33/12)</f>
        <v>183636903.52495179</v>
      </c>
      <c r="G441" s="42">
        <f>IF(I440&lt;'System Assumptions'!$E$29,0,-(MIN('Hydrological Data Model'!$E$34,'Hydrological Data Model'!$E$33-'System Assumptions'!$E$12))/12)</f>
        <v>-125252183.52495177</v>
      </c>
      <c r="H441" s="42">
        <f t="shared" si="74"/>
        <v>13549607334.625124</v>
      </c>
      <c r="I441" s="106">
        <f>H441/'System Assumptions'!$F$15</f>
        <v>15.252270619126433</v>
      </c>
      <c r="J441" s="42">
        <f>'System Assumptions'!$E$30+'System Assumptions'!$E$28-'Data Model Calculations'!I441</f>
        <v>64.501329380873571</v>
      </c>
      <c r="K441" s="45">
        <f t="shared" si="79"/>
        <v>53.861564461297782</v>
      </c>
      <c r="L441" s="46">
        <f t="shared" si="80"/>
        <v>729803048879184.38</v>
      </c>
      <c r="M441" s="47">
        <f>D441/1000*('System Assumptions'!$F$20*1000000)</f>
        <v>276691425000.00018</v>
      </c>
      <c r="N441" s="48"/>
      <c r="O441" s="49">
        <f>(F441/1000)*('System Assumptions'!$F$21*1000000)</f>
        <v>6427291623373.3125</v>
      </c>
      <c r="P441" s="49">
        <f t="shared" si="75"/>
        <v>-6746278556847.4902</v>
      </c>
      <c r="Q441" s="48">
        <f t="shared" si="81"/>
        <v>729760753370710.25</v>
      </c>
      <c r="R441" s="53">
        <f t="shared" si="82"/>
        <v>53.858442931099191</v>
      </c>
      <c r="S441" s="52">
        <v>35</v>
      </c>
    </row>
    <row r="442" spans="1:19">
      <c r="A442" s="3">
        <f t="shared" si="77"/>
        <v>37</v>
      </c>
      <c r="B442" s="3">
        <f t="shared" si="76"/>
        <v>440</v>
      </c>
      <c r="C442" s="40">
        <f t="shared" si="78"/>
        <v>13549607334.625124</v>
      </c>
      <c r="D442" s="41">
        <f>'System Assumptions'!$E$11/12</f>
        <v>75242280</v>
      </c>
      <c r="E442" s="41">
        <f>-'System Assumptions'!$E$10/12</f>
        <v>-133627000</v>
      </c>
      <c r="F442" s="41">
        <f>IF(I441&lt;'System Assumptions'!$E$29,'Hydrological Data Model'!$E$33/12,'Hydrological Data Model'!$E$33/12)</f>
        <v>183636903.52495179</v>
      </c>
      <c r="G442" s="42">
        <f>IF(I441&lt;'System Assumptions'!$E$29,0,-(MIN('Hydrological Data Model'!$E$34,'Hydrological Data Model'!$E$33-'System Assumptions'!$E$12))/12)</f>
        <v>-125252183.52495177</v>
      </c>
      <c r="H442" s="42">
        <f t="shared" si="74"/>
        <v>13549607334.625124</v>
      </c>
      <c r="I442" s="106">
        <f>H442/'System Assumptions'!$F$15</f>
        <v>15.252270619126433</v>
      </c>
      <c r="J442" s="42">
        <f>'System Assumptions'!$E$30+'System Assumptions'!$E$28-'Data Model Calculations'!I442</f>
        <v>64.501329380873571</v>
      </c>
      <c r="K442" s="45">
        <f t="shared" si="79"/>
        <v>53.858442931099191</v>
      </c>
      <c r="L442" s="46">
        <f t="shared" si="80"/>
        <v>729760753370710.25</v>
      </c>
      <c r="M442" s="47">
        <f>D442/1000*('System Assumptions'!$F$20*1000000)</f>
        <v>276691425000.00018</v>
      </c>
      <c r="N442" s="48"/>
      <c r="O442" s="49">
        <f>(F442/1000)*('System Assumptions'!$F$21*1000000)</f>
        <v>6427291623373.3125</v>
      </c>
      <c r="P442" s="49">
        <f t="shared" si="75"/>
        <v>-6745887578374.1768</v>
      </c>
      <c r="Q442" s="48">
        <f t="shared" si="81"/>
        <v>729718848840709.38</v>
      </c>
      <c r="R442" s="53">
        <f t="shared" si="82"/>
        <v>53.855350256236669</v>
      </c>
      <c r="S442" s="52">
        <v>35</v>
      </c>
    </row>
    <row r="443" spans="1:19">
      <c r="A443" s="3">
        <f t="shared" si="77"/>
        <v>37</v>
      </c>
      <c r="B443" s="3">
        <f t="shared" si="76"/>
        <v>441</v>
      </c>
      <c r="C443" s="40">
        <f t="shared" si="78"/>
        <v>13549607334.625124</v>
      </c>
      <c r="D443" s="41">
        <f>'System Assumptions'!$E$11/12</f>
        <v>75242280</v>
      </c>
      <c r="E443" s="41">
        <f>-'System Assumptions'!$E$10/12</f>
        <v>-133627000</v>
      </c>
      <c r="F443" s="41">
        <f>IF(I442&lt;'System Assumptions'!$E$29,'Hydrological Data Model'!$E$33/12,'Hydrological Data Model'!$E$33/12)</f>
        <v>183636903.52495179</v>
      </c>
      <c r="G443" s="42">
        <f>IF(I442&lt;'System Assumptions'!$E$29,0,-(MIN('Hydrological Data Model'!$E$34,'Hydrological Data Model'!$E$33-'System Assumptions'!$E$12))/12)</f>
        <v>-125252183.52495177</v>
      </c>
      <c r="H443" s="42">
        <f t="shared" si="74"/>
        <v>13549607334.625124</v>
      </c>
      <c r="I443" s="106">
        <f>H443/'System Assumptions'!$F$15</f>
        <v>15.252270619126433</v>
      </c>
      <c r="J443" s="42">
        <f>'System Assumptions'!$E$30+'System Assumptions'!$E$28-'Data Model Calculations'!I443</f>
        <v>64.501329380873571</v>
      </c>
      <c r="K443" s="45">
        <f t="shared" si="79"/>
        <v>53.855350256236669</v>
      </c>
      <c r="L443" s="46">
        <f t="shared" si="80"/>
        <v>729718848840709.38</v>
      </c>
      <c r="M443" s="47">
        <f>D443/1000*('System Assumptions'!$F$20*1000000)</f>
        <v>276691425000.00018</v>
      </c>
      <c r="N443" s="48"/>
      <c r="O443" s="49">
        <f>(F443/1000)*('System Assumptions'!$F$21*1000000)</f>
        <v>6427291623373.3125</v>
      </c>
      <c r="P443" s="49">
        <f t="shared" si="75"/>
        <v>-6745500214094.7129</v>
      </c>
      <c r="Q443" s="48">
        <f t="shared" si="81"/>
        <v>729677331674988</v>
      </c>
      <c r="R443" s="53">
        <f t="shared" si="82"/>
        <v>53.852286169972317</v>
      </c>
      <c r="S443" s="52">
        <v>35</v>
      </c>
    </row>
    <row r="444" spans="1:19">
      <c r="A444" s="3">
        <f t="shared" si="77"/>
        <v>37</v>
      </c>
      <c r="B444" s="3">
        <f t="shared" si="76"/>
        <v>442</v>
      </c>
      <c r="C444" s="40">
        <f t="shared" si="78"/>
        <v>13549607334.625124</v>
      </c>
      <c r="D444" s="41">
        <f>'System Assumptions'!$E$11/12</f>
        <v>75242280</v>
      </c>
      <c r="E444" s="41">
        <f>-'System Assumptions'!$E$10/12</f>
        <v>-133627000</v>
      </c>
      <c r="F444" s="41">
        <f>IF(I443&lt;'System Assumptions'!$E$29,'Hydrological Data Model'!$E$33/12,'Hydrological Data Model'!$E$33/12)</f>
        <v>183636903.52495179</v>
      </c>
      <c r="G444" s="42">
        <f>IF(I443&lt;'System Assumptions'!$E$29,0,-(MIN('Hydrological Data Model'!$E$34,'Hydrological Data Model'!$E$33-'System Assumptions'!$E$12))/12)</f>
        <v>-125252183.52495177</v>
      </c>
      <c r="H444" s="42">
        <f t="shared" si="74"/>
        <v>13549607334.625124</v>
      </c>
      <c r="I444" s="106">
        <f>H444/'System Assumptions'!$F$15</f>
        <v>15.252270619126433</v>
      </c>
      <c r="J444" s="42">
        <f>'System Assumptions'!$E$30+'System Assumptions'!$E$28-'Data Model Calculations'!I444</f>
        <v>64.501329380873571</v>
      </c>
      <c r="K444" s="45">
        <f t="shared" si="79"/>
        <v>53.852286169972317</v>
      </c>
      <c r="L444" s="46">
        <f t="shared" si="80"/>
        <v>729677331674988</v>
      </c>
      <c r="M444" s="47">
        <f>D444/1000*('System Assumptions'!$F$20*1000000)</f>
        <v>276691425000.00018</v>
      </c>
      <c r="N444" s="48"/>
      <c r="O444" s="49">
        <f>(F444/1000)*('System Assumptions'!$F$21*1000000)</f>
        <v>6427291623373.3125</v>
      </c>
      <c r="P444" s="49">
        <f t="shared" si="75"/>
        <v>-6745116430599.5938</v>
      </c>
      <c r="Q444" s="48">
        <f t="shared" si="81"/>
        <v>729636198292761.63</v>
      </c>
      <c r="R444" s="53">
        <f t="shared" si="82"/>
        <v>53.849250408033939</v>
      </c>
      <c r="S444" s="52">
        <v>35</v>
      </c>
    </row>
    <row r="445" spans="1:19">
      <c r="A445" s="3">
        <f t="shared" si="77"/>
        <v>37</v>
      </c>
      <c r="B445" s="3">
        <f t="shared" si="76"/>
        <v>443</v>
      </c>
      <c r="C445" s="40">
        <f t="shared" si="78"/>
        <v>13549607334.625124</v>
      </c>
      <c r="D445" s="41">
        <f>'System Assumptions'!$E$11/12</f>
        <v>75242280</v>
      </c>
      <c r="E445" s="41">
        <f>-'System Assumptions'!$E$10/12</f>
        <v>-133627000</v>
      </c>
      <c r="F445" s="41">
        <f>IF(I444&lt;'System Assumptions'!$E$29,'Hydrological Data Model'!$E$33/12,'Hydrological Data Model'!$E$33/12)</f>
        <v>183636903.52495179</v>
      </c>
      <c r="G445" s="42">
        <f>IF(I444&lt;'System Assumptions'!$E$29,0,-(MIN('Hydrological Data Model'!$E$34,'Hydrological Data Model'!$E$33-'System Assumptions'!$E$12))/12)</f>
        <v>-125252183.52495177</v>
      </c>
      <c r="H445" s="42">
        <f t="shared" si="74"/>
        <v>13549607334.625124</v>
      </c>
      <c r="I445" s="106">
        <f>H445/'System Assumptions'!$F$15</f>
        <v>15.252270619126433</v>
      </c>
      <c r="J445" s="42">
        <f>'System Assumptions'!$E$30+'System Assumptions'!$E$28-'Data Model Calculations'!I445</f>
        <v>64.501329380873571</v>
      </c>
      <c r="K445" s="45">
        <f t="shared" si="79"/>
        <v>53.849250408033939</v>
      </c>
      <c r="L445" s="46">
        <f t="shared" si="80"/>
        <v>729636198292761.63</v>
      </c>
      <c r="M445" s="47">
        <f>D445/1000*('System Assumptions'!$F$20*1000000)</f>
        <v>276691425000.00018</v>
      </c>
      <c r="N445" s="48"/>
      <c r="O445" s="49">
        <f>(F445/1000)*('System Assumptions'!$F$21*1000000)</f>
        <v>6427291623373.3125</v>
      </c>
      <c r="P445" s="49">
        <f t="shared" si="75"/>
        <v>-6744736194788.1514</v>
      </c>
      <c r="Q445" s="48">
        <f t="shared" si="81"/>
        <v>729595445146346.88</v>
      </c>
      <c r="R445" s="53">
        <f t="shared" si="82"/>
        <v>53.846242708592307</v>
      </c>
      <c r="S445" s="52">
        <v>35</v>
      </c>
    </row>
    <row r="446" spans="1:19">
      <c r="A446" s="3">
        <f t="shared" si="77"/>
        <v>37</v>
      </c>
      <c r="B446" s="3">
        <f t="shared" si="76"/>
        <v>444</v>
      </c>
      <c r="C446" s="40">
        <f t="shared" si="78"/>
        <v>13549607334.625124</v>
      </c>
      <c r="D446" s="41">
        <f>'System Assumptions'!$E$11/12</f>
        <v>75242280</v>
      </c>
      <c r="E446" s="41">
        <f>-'System Assumptions'!$E$10/12</f>
        <v>-133627000</v>
      </c>
      <c r="F446" s="41">
        <f>IF(I445&lt;'System Assumptions'!$E$29,'Hydrological Data Model'!$E$33/12,'Hydrological Data Model'!$E$33/12)</f>
        <v>183636903.52495179</v>
      </c>
      <c r="G446" s="42">
        <f>IF(I445&lt;'System Assumptions'!$E$29,0,-(MIN('Hydrological Data Model'!$E$34,'Hydrological Data Model'!$E$33-'System Assumptions'!$E$12))/12)</f>
        <v>-125252183.52495177</v>
      </c>
      <c r="H446" s="42">
        <f t="shared" si="74"/>
        <v>13549607334.625124</v>
      </c>
      <c r="I446" s="106">
        <f>H446/'System Assumptions'!$F$15</f>
        <v>15.252270619126433</v>
      </c>
      <c r="J446" s="42">
        <f>'System Assumptions'!$E$30+'System Assumptions'!$E$28-'Data Model Calculations'!I446</f>
        <v>64.501329380873571</v>
      </c>
      <c r="K446" s="45">
        <f t="shared" si="79"/>
        <v>53.846242708592307</v>
      </c>
      <c r="L446" s="46">
        <f t="shared" si="80"/>
        <v>729595445146346.88</v>
      </c>
      <c r="M446" s="47">
        <f>D446/1000*('System Assumptions'!$F$20*1000000)</f>
        <v>276691425000.00018</v>
      </c>
      <c r="N446" s="48"/>
      <c r="O446" s="49">
        <f>(F446/1000)*('System Assumptions'!$F$21*1000000)</f>
        <v>6427291623373.3125</v>
      </c>
      <c r="P446" s="49">
        <f t="shared" si="75"/>
        <v>-6744359473865.6992</v>
      </c>
      <c r="Q446" s="48">
        <f t="shared" si="81"/>
        <v>729555068720854.5</v>
      </c>
      <c r="R446" s="53">
        <f t="shared" si="82"/>
        <v>53.843262812238471</v>
      </c>
      <c r="S446" s="52">
        <v>35</v>
      </c>
    </row>
    <row r="447" spans="1:19">
      <c r="A447" s="3">
        <f t="shared" si="77"/>
        <v>38</v>
      </c>
      <c r="B447" s="3">
        <f t="shared" si="76"/>
        <v>445</v>
      </c>
      <c r="C447" s="40">
        <f t="shared" si="78"/>
        <v>13549607334.625124</v>
      </c>
      <c r="D447" s="41">
        <f>'System Assumptions'!$E$11/12</f>
        <v>75242280</v>
      </c>
      <c r="E447" s="41">
        <f>-'System Assumptions'!$E$10/12</f>
        <v>-133627000</v>
      </c>
      <c r="F447" s="41">
        <f>IF(I446&lt;'System Assumptions'!$E$29,'Hydrological Data Model'!$E$33/12,'Hydrological Data Model'!$E$33/12)</f>
        <v>183636903.52495179</v>
      </c>
      <c r="G447" s="42">
        <f>IF(I446&lt;'System Assumptions'!$E$29,0,-(MIN('Hydrological Data Model'!$E$34,'Hydrological Data Model'!$E$33-'System Assumptions'!$E$12))/12)</f>
        <v>-125252183.52495177</v>
      </c>
      <c r="H447" s="42">
        <f t="shared" si="74"/>
        <v>13549607334.625124</v>
      </c>
      <c r="I447" s="106">
        <f>H447/'System Assumptions'!$F$15</f>
        <v>15.252270619126433</v>
      </c>
      <c r="J447" s="42">
        <f>'System Assumptions'!$E$30+'System Assumptions'!$E$28-'Data Model Calculations'!I447</f>
        <v>64.501329380873571</v>
      </c>
      <c r="K447" s="45">
        <f t="shared" si="79"/>
        <v>53.843262812238471</v>
      </c>
      <c r="L447" s="46">
        <f t="shared" si="80"/>
        <v>729555068720854.5</v>
      </c>
      <c r="M447" s="47">
        <f>D447/1000*('System Assumptions'!$F$20*1000000)</f>
        <v>276691425000.00018</v>
      </c>
      <c r="N447" s="48"/>
      <c r="O447" s="49">
        <f>(F447/1000)*('System Assumptions'!$F$21*1000000)</f>
        <v>6427291623373.3125</v>
      </c>
      <c r="P447" s="49">
        <f t="shared" si="75"/>
        <v>-6743986235340.7041</v>
      </c>
      <c r="Q447" s="48">
        <f t="shared" si="81"/>
        <v>729515065533887</v>
      </c>
      <c r="R447" s="53">
        <f t="shared" si="82"/>
        <v>53.840310461961472</v>
      </c>
      <c r="S447" s="52">
        <v>35</v>
      </c>
    </row>
    <row r="448" spans="1:19">
      <c r="A448" s="3">
        <f t="shared" si="77"/>
        <v>38</v>
      </c>
      <c r="B448" s="3">
        <f t="shared" si="76"/>
        <v>446</v>
      </c>
      <c r="C448" s="40">
        <f t="shared" si="78"/>
        <v>13549607334.625124</v>
      </c>
      <c r="D448" s="41">
        <f>'System Assumptions'!$E$11/12</f>
        <v>75242280</v>
      </c>
      <c r="E448" s="41">
        <f>-'System Assumptions'!$E$10/12</f>
        <v>-133627000</v>
      </c>
      <c r="F448" s="41">
        <f>IF(I447&lt;'System Assumptions'!$E$29,'Hydrological Data Model'!$E$33/12,'Hydrological Data Model'!$E$33/12)</f>
        <v>183636903.52495179</v>
      </c>
      <c r="G448" s="42">
        <f>IF(I447&lt;'System Assumptions'!$E$29,0,-(MIN('Hydrological Data Model'!$E$34,'Hydrological Data Model'!$E$33-'System Assumptions'!$E$12))/12)</f>
        <v>-125252183.52495177</v>
      </c>
      <c r="H448" s="42">
        <f t="shared" si="74"/>
        <v>13549607334.625124</v>
      </c>
      <c r="I448" s="106">
        <f>H448/'System Assumptions'!$F$15</f>
        <v>15.252270619126433</v>
      </c>
      <c r="J448" s="42">
        <f>'System Assumptions'!$E$30+'System Assumptions'!$E$28-'Data Model Calculations'!I448</f>
        <v>64.501329380873571</v>
      </c>
      <c r="K448" s="45">
        <f t="shared" si="79"/>
        <v>53.840310461961472</v>
      </c>
      <c r="L448" s="46">
        <f t="shared" si="80"/>
        <v>729515065533887</v>
      </c>
      <c r="M448" s="47">
        <f>D448/1000*('System Assumptions'!$F$20*1000000)</f>
        <v>276691425000.00018</v>
      </c>
      <c r="N448" s="48"/>
      <c r="O448" s="49">
        <f>(F448/1000)*('System Assumptions'!$F$21*1000000)</f>
        <v>6427291623373.3125</v>
      </c>
      <c r="P448" s="49">
        <f t="shared" si="75"/>
        <v>-6743616447021.9785</v>
      </c>
      <c r="Q448" s="48">
        <f t="shared" si="81"/>
        <v>729475432135238.25</v>
      </c>
      <c r="R448" s="53">
        <f t="shared" si="82"/>
        <v>53.837385403126191</v>
      </c>
      <c r="S448" s="52">
        <v>35</v>
      </c>
    </row>
    <row r="449" spans="1:19">
      <c r="A449" s="3">
        <f t="shared" si="77"/>
        <v>38</v>
      </c>
      <c r="B449" s="3">
        <f t="shared" si="76"/>
        <v>447</v>
      </c>
      <c r="C449" s="40">
        <f t="shared" si="78"/>
        <v>13549607334.625124</v>
      </c>
      <c r="D449" s="41">
        <f>'System Assumptions'!$E$11/12</f>
        <v>75242280</v>
      </c>
      <c r="E449" s="41">
        <f>-'System Assumptions'!$E$10/12</f>
        <v>-133627000</v>
      </c>
      <c r="F449" s="41">
        <f>IF(I448&lt;'System Assumptions'!$E$29,'Hydrological Data Model'!$E$33/12,'Hydrological Data Model'!$E$33/12)</f>
        <v>183636903.52495179</v>
      </c>
      <c r="G449" s="42">
        <f>IF(I448&lt;'System Assumptions'!$E$29,0,-(MIN('Hydrological Data Model'!$E$34,'Hydrological Data Model'!$E$33-'System Assumptions'!$E$12))/12)</f>
        <v>-125252183.52495177</v>
      </c>
      <c r="H449" s="42">
        <f t="shared" si="74"/>
        <v>13549607334.625124</v>
      </c>
      <c r="I449" s="106">
        <f>H449/'System Assumptions'!$F$15</f>
        <v>15.252270619126433</v>
      </c>
      <c r="J449" s="42">
        <f>'System Assumptions'!$E$30+'System Assumptions'!$E$28-'Data Model Calculations'!I449</f>
        <v>64.501329380873571</v>
      </c>
      <c r="K449" s="45">
        <f t="shared" si="79"/>
        <v>53.837385403126191</v>
      </c>
      <c r="L449" s="46">
        <f t="shared" si="80"/>
        <v>729475432135238.25</v>
      </c>
      <c r="M449" s="47">
        <f>D449/1000*('System Assumptions'!$F$20*1000000)</f>
        <v>276691425000.00018</v>
      </c>
      <c r="N449" s="48"/>
      <c r="O449" s="49">
        <f>(F449/1000)*('System Assumptions'!$F$21*1000000)</f>
        <v>6427291623373.3125</v>
      </c>
      <c r="P449" s="49">
        <f t="shared" si="75"/>
        <v>-6743250077015.9209</v>
      </c>
      <c r="Q449" s="48">
        <f t="shared" si="81"/>
        <v>729436165106595.63</v>
      </c>
      <c r="R449" s="53">
        <f t="shared" si="82"/>
        <v>53.834487383451311</v>
      </c>
      <c r="S449" s="52">
        <v>35</v>
      </c>
    </row>
    <row r="450" spans="1:19">
      <c r="A450" s="3">
        <f t="shared" si="77"/>
        <v>38</v>
      </c>
      <c r="B450" s="3">
        <f t="shared" si="76"/>
        <v>448</v>
      </c>
      <c r="C450" s="40">
        <f t="shared" si="78"/>
        <v>13549607334.625124</v>
      </c>
      <c r="D450" s="41">
        <f>'System Assumptions'!$E$11/12</f>
        <v>75242280</v>
      </c>
      <c r="E450" s="41">
        <f>-'System Assumptions'!$E$10/12</f>
        <v>-133627000</v>
      </c>
      <c r="F450" s="41">
        <f>IF(I449&lt;'System Assumptions'!$E$29,'Hydrological Data Model'!$E$33/12,'Hydrological Data Model'!$E$33/12)</f>
        <v>183636903.52495179</v>
      </c>
      <c r="G450" s="42">
        <f>IF(I449&lt;'System Assumptions'!$E$29,0,-(MIN('Hydrological Data Model'!$E$34,'Hydrological Data Model'!$E$33-'System Assumptions'!$E$12))/12)</f>
        <v>-125252183.52495177</v>
      </c>
      <c r="H450" s="42">
        <f t="shared" si="74"/>
        <v>13549607334.625124</v>
      </c>
      <c r="I450" s="106">
        <f>H450/'System Assumptions'!$F$15</f>
        <v>15.252270619126433</v>
      </c>
      <c r="J450" s="42">
        <f>'System Assumptions'!$E$30+'System Assumptions'!$E$28-'Data Model Calculations'!I450</f>
        <v>64.501329380873571</v>
      </c>
      <c r="K450" s="45">
        <f t="shared" si="79"/>
        <v>53.834487383451311</v>
      </c>
      <c r="L450" s="46">
        <f t="shared" si="80"/>
        <v>729436165106595.63</v>
      </c>
      <c r="M450" s="47">
        <f>D450/1000*('System Assumptions'!$F$20*1000000)</f>
        <v>276691425000.00018</v>
      </c>
      <c r="N450" s="48"/>
      <c r="O450" s="49">
        <f>(F450/1000)*('System Assumptions'!$F$21*1000000)</f>
        <v>6427291623373.3125</v>
      </c>
      <c r="P450" s="49">
        <f t="shared" si="75"/>
        <v>-6742887093723.7441</v>
      </c>
      <c r="Q450" s="48">
        <f t="shared" si="81"/>
        <v>729397261061245.25</v>
      </c>
      <c r="R450" s="53">
        <f t="shared" si="82"/>
        <v>53.831616152987614</v>
      </c>
      <c r="S450" s="52">
        <v>35</v>
      </c>
    </row>
    <row r="451" spans="1:19">
      <c r="A451" s="3">
        <f t="shared" si="77"/>
        <v>38</v>
      </c>
      <c r="B451" s="3">
        <f t="shared" si="76"/>
        <v>449</v>
      </c>
      <c r="C451" s="40">
        <f t="shared" si="78"/>
        <v>13549607334.625124</v>
      </c>
      <c r="D451" s="41">
        <f>'System Assumptions'!$E$11/12</f>
        <v>75242280</v>
      </c>
      <c r="E451" s="41">
        <f>-'System Assumptions'!$E$10/12</f>
        <v>-133627000</v>
      </c>
      <c r="F451" s="41">
        <f>IF(I450&lt;'System Assumptions'!$E$29,'Hydrological Data Model'!$E$33/12,'Hydrological Data Model'!$E$33/12)</f>
        <v>183636903.52495179</v>
      </c>
      <c r="G451" s="42">
        <f>IF(I450&lt;'System Assumptions'!$E$29,0,-(MIN('Hydrological Data Model'!$E$34,'Hydrological Data Model'!$E$33-'System Assumptions'!$E$12))/12)</f>
        <v>-125252183.52495177</v>
      </c>
      <c r="H451" s="42">
        <f t="shared" ref="H451:H514" si="83">SUM(C451:G451)</f>
        <v>13549607334.625124</v>
      </c>
      <c r="I451" s="106">
        <f>H451/'System Assumptions'!$F$15</f>
        <v>15.252270619126433</v>
      </c>
      <c r="J451" s="42">
        <f>'System Assumptions'!$E$30+'System Assumptions'!$E$28-'Data Model Calculations'!I451</f>
        <v>64.501329380873571</v>
      </c>
      <c r="K451" s="45">
        <f t="shared" si="79"/>
        <v>53.831616152987614</v>
      </c>
      <c r="L451" s="46">
        <f t="shared" si="80"/>
        <v>729397261061245.25</v>
      </c>
      <c r="M451" s="47">
        <f>D451/1000*('System Assumptions'!$F$20*1000000)</f>
        <v>276691425000.00018</v>
      </c>
      <c r="N451" s="48"/>
      <c r="O451" s="49">
        <f>(F451/1000)*('System Assumptions'!$F$21*1000000)</f>
        <v>6427291623373.3125</v>
      </c>
      <c r="P451" s="49">
        <f t="shared" ref="P451:P514" si="84">(G451*1000000)*K451/1000</f>
        <v>-6742527465838.7627</v>
      </c>
      <c r="Q451" s="48">
        <f t="shared" si="81"/>
        <v>729358716643779.75</v>
      </c>
      <c r="R451" s="53">
        <f t="shared" si="82"/>
        <v>53.82877146409637</v>
      </c>
      <c r="S451" s="52">
        <v>35</v>
      </c>
    </row>
    <row r="452" spans="1:19">
      <c r="A452" s="3">
        <f t="shared" si="77"/>
        <v>38</v>
      </c>
      <c r="B452" s="3">
        <f t="shared" si="76"/>
        <v>450</v>
      </c>
      <c r="C452" s="40">
        <f t="shared" si="78"/>
        <v>13549607334.625124</v>
      </c>
      <c r="D452" s="41">
        <f>'System Assumptions'!$E$11/12</f>
        <v>75242280</v>
      </c>
      <c r="E452" s="41">
        <f>-'System Assumptions'!$E$10/12</f>
        <v>-133627000</v>
      </c>
      <c r="F452" s="41">
        <f>IF(I451&lt;'System Assumptions'!$E$29,'Hydrological Data Model'!$E$33/12,'Hydrological Data Model'!$E$33/12)</f>
        <v>183636903.52495179</v>
      </c>
      <c r="G452" s="42">
        <f>IF(I451&lt;'System Assumptions'!$E$29,0,-(MIN('Hydrological Data Model'!$E$34,'Hydrological Data Model'!$E$33-'System Assumptions'!$E$12))/12)</f>
        <v>-125252183.52495177</v>
      </c>
      <c r="H452" s="42">
        <f t="shared" si="83"/>
        <v>13549607334.625124</v>
      </c>
      <c r="I452" s="106">
        <f>H452/'System Assumptions'!$F$15</f>
        <v>15.252270619126433</v>
      </c>
      <c r="J452" s="42">
        <f>'System Assumptions'!$E$30+'System Assumptions'!$E$28-'Data Model Calculations'!I452</f>
        <v>64.501329380873571</v>
      </c>
      <c r="K452" s="45">
        <f t="shared" si="79"/>
        <v>53.82877146409637</v>
      </c>
      <c r="L452" s="46">
        <f t="shared" si="80"/>
        <v>729358716643779.75</v>
      </c>
      <c r="M452" s="47">
        <f>D452/1000*('System Assumptions'!$F$20*1000000)</f>
        <v>276691425000.00018</v>
      </c>
      <c r="N452" s="48"/>
      <c r="O452" s="49">
        <f>(F452/1000)*('System Assumptions'!$F$21*1000000)</f>
        <v>6427291623373.3125</v>
      </c>
      <c r="P452" s="49">
        <f t="shared" si="84"/>
        <v>-6742171162343.6846</v>
      </c>
      <c r="Q452" s="48">
        <f t="shared" si="81"/>
        <v>729320528529809.38</v>
      </c>
      <c r="R452" s="53">
        <f t="shared" si="82"/>
        <v>53.82595307142806</v>
      </c>
      <c r="S452" s="52">
        <v>35</v>
      </c>
    </row>
    <row r="453" spans="1:19">
      <c r="A453" s="3">
        <f t="shared" si="77"/>
        <v>38</v>
      </c>
      <c r="B453" s="3">
        <f t="shared" si="76"/>
        <v>451</v>
      </c>
      <c r="C453" s="40">
        <f t="shared" si="78"/>
        <v>13549607334.625124</v>
      </c>
      <c r="D453" s="41">
        <f>'System Assumptions'!$E$11/12</f>
        <v>75242280</v>
      </c>
      <c r="E453" s="41">
        <f>-'System Assumptions'!$E$10/12</f>
        <v>-133627000</v>
      </c>
      <c r="F453" s="41">
        <f>IF(I452&lt;'System Assumptions'!$E$29,'Hydrological Data Model'!$E$33/12,'Hydrological Data Model'!$E$33/12)</f>
        <v>183636903.52495179</v>
      </c>
      <c r="G453" s="42">
        <f>IF(I452&lt;'System Assumptions'!$E$29,0,-(MIN('Hydrological Data Model'!$E$34,'Hydrological Data Model'!$E$33-'System Assumptions'!$E$12))/12)</f>
        <v>-125252183.52495177</v>
      </c>
      <c r="H453" s="42">
        <f t="shared" si="83"/>
        <v>13549607334.625124</v>
      </c>
      <c r="I453" s="106">
        <f>H453/'System Assumptions'!$F$15</f>
        <v>15.252270619126433</v>
      </c>
      <c r="J453" s="42">
        <f>'System Assumptions'!$E$30+'System Assumptions'!$E$28-'Data Model Calculations'!I453</f>
        <v>64.501329380873571</v>
      </c>
      <c r="K453" s="45">
        <f t="shared" si="79"/>
        <v>53.82595307142806</v>
      </c>
      <c r="L453" s="46">
        <f t="shared" si="80"/>
        <v>729320528529809.38</v>
      </c>
      <c r="M453" s="47">
        <f>D453/1000*('System Assumptions'!$F$20*1000000)</f>
        <v>276691425000.00018</v>
      </c>
      <c r="N453" s="48"/>
      <c r="O453" s="49">
        <f>(F453/1000)*('System Assumptions'!$F$21*1000000)</f>
        <v>6427291623373.3125</v>
      </c>
      <c r="P453" s="49">
        <f t="shared" si="84"/>
        <v>-6741818152507.9492</v>
      </c>
      <c r="Q453" s="48">
        <f t="shared" si="81"/>
        <v>729282693425674.75</v>
      </c>
      <c r="R453" s="53">
        <f t="shared" si="82"/>
        <v>53.823160731901147</v>
      </c>
      <c r="S453" s="52">
        <v>35</v>
      </c>
    </row>
    <row r="454" spans="1:19">
      <c r="A454" s="3">
        <f t="shared" si="77"/>
        <v>38</v>
      </c>
      <c r="B454" s="3">
        <f t="shared" si="76"/>
        <v>452</v>
      </c>
      <c r="C454" s="40">
        <f t="shared" si="78"/>
        <v>13549607334.625124</v>
      </c>
      <c r="D454" s="41">
        <f>'System Assumptions'!$E$11/12</f>
        <v>75242280</v>
      </c>
      <c r="E454" s="41">
        <f>-'System Assumptions'!$E$10/12</f>
        <v>-133627000</v>
      </c>
      <c r="F454" s="41">
        <f>IF(I453&lt;'System Assumptions'!$E$29,'Hydrological Data Model'!$E$33/12,'Hydrological Data Model'!$E$33/12)</f>
        <v>183636903.52495179</v>
      </c>
      <c r="G454" s="42">
        <f>IF(I453&lt;'System Assumptions'!$E$29,0,-(MIN('Hydrological Data Model'!$E$34,'Hydrological Data Model'!$E$33-'System Assumptions'!$E$12))/12)</f>
        <v>-125252183.52495177</v>
      </c>
      <c r="H454" s="42">
        <f t="shared" si="83"/>
        <v>13549607334.625124</v>
      </c>
      <c r="I454" s="106">
        <f>H454/'System Assumptions'!$F$15</f>
        <v>15.252270619126433</v>
      </c>
      <c r="J454" s="42">
        <f>'System Assumptions'!$E$30+'System Assumptions'!$E$28-'Data Model Calculations'!I454</f>
        <v>64.501329380873571</v>
      </c>
      <c r="K454" s="45">
        <f t="shared" si="79"/>
        <v>53.823160731901147</v>
      </c>
      <c r="L454" s="46">
        <f t="shared" si="80"/>
        <v>729282693425674.75</v>
      </c>
      <c r="M454" s="47">
        <f>D454/1000*('System Assumptions'!$F$20*1000000)</f>
        <v>276691425000.00018</v>
      </c>
      <c r="N454" s="48"/>
      <c r="O454" s="49">
        <f>(F454/1000)*('System Assumptions'!$F$21*1000000)</f>
        <v>6427291623373.3125</v>
      </c>
      <c r="P454" s="49">
        <f t="shared" si="84"/>
        <v>-6741468405885.0596</v>
      </c>
      <c r="Q454" s="48">
        <f t="shared" si="81"/>
        <v>729245208068163</v>
      </c>
      <c r="R454" s="53">
        <f t="shared" si="82"/>
        <v>53.820394204681129</v>
      </c>
      <c r="S454" s="52">
        <v>35</v>
      </c>
    </row>
    <row r="455" spans="1:19">
      <c r="A455" s="3">
        <f t="shared" si="77"/>
        <v>38</v>
      </c>
      <c r="B455" s="3">
        <f t="shared" si="76"/>
        <v>453</v>
      </c>
      <c r="C455" s="40">
        <f t="shared" si="78"/>
        <v>13549607334.625124</v>
      </c>
      <c r="D455" s="41">
        <f>'System Assumptions'!$E$11/12</f>
        <v>75242280</v>
      </c>
      <c r="E455" s="41">
        <f>-'System Assumptions'!$E$10/12</f>
        <v>-133627000</v>
      </c>
      <c r="F455" s="41">
        <f>IF(I454&lt;'System Assumptions'!$E$29,'Hydrological Data Model'!$E$33/12,'Hydrological Data Model'!$E$33/12)</f>
        <v>183636903.52495179</v>
      </c>
      <c r="G455" s="42">
        <f>IF(I454&lt;'System Assumptions'!$E$29,0,-(MIN('Hydrological Data Model'!$E$34,'Hydrological Data Model'!$E$33-'System Assumptions'!$E$12))/12)</f>
        <v>-125252183.52495177</v>
      </c>
      <c r="H455" s="42">
        <f t="shared" si="83"/>
        <v>13549607334.625124</v>
      </c>
      <c r="I455" s="106">
        <f>H455/'System Assumptions'!$F$15</f>
        <v>15.252270619126433</v>
      </c>
      <c r="J455" s="42">
        <f>'System Assumptions'!$E$30+'System Assumptions'!$E$28-'Data Model Calculations'!I455</f>
        <v>64.501329380873571</v>
      </c>
      <c r="K455" s="45">
        <f t="shared" si="79"/>
        <v>53.820394204681129</v>
      </c>
      <c r="L455" s="46">
        <f t="shared" si="80"/>
        <v>729245208068163</v>
      </c>
      <c r="M455" s="47">
        <f>D455/1000*('System Assumptions'!$F$20*1000000)</f>
        <v>276691425000.00018</v>
      </c>
      <c r="N455" s="48"/>
      <c r="O455" s="49">
        <f>(F455/1000)*('System Assumptions'!$F$21*1000000)</f>
        <v>6427291623373.3125</v>
      </c>
      <c r="P455" s="49">
        <f t="shared" si="84"/>
        <v>-6741121892309.9707</v>
      </c>
      <c r="Q455" s="48">
        <f t="shared" si="81"/>
        <v>729208069224226.25</v>
      </c>
      <c r="R455" s="53">
        <f t="shared" si="82"/>
        <v>53.81765325115979</v>
      </c>
      <c r="S455" s="52">
        <v>35</v>
      </c>
    </row>
    <row r="456" spans="1:19">
      <c r="A456" s="3">
        <f t="shared" si="77"/>
        <v>38</v>
      </c>
      <c r="B456" s="3">
        <f t="shared" si="76"/>
        <v>454</v>
      </c>
      <c r="C456" s="40">
        <f t="shared" si="78"/>
        <v>13549607334.625124</v>
      </c>
      <c r="D456" s="41">
        <f>'System Assumptions'!$E$11/12</f>
        <v>75242280</v>
      </c>
      <c r="E456" s="41">
        <f>-'System Assumptions'!$E$10/12</f>
        <v>-133627000</v>
      </c>
      <c r="F456" s="41">
        <f>IF(I455&lt;'System Assumptions'!$E$29,'Hydrological Data Model'!$E$33/12,'Hydrological Data Model'!$E$33/12)</f>
        <v>183636903.52495179</v>
      </c>
      <c r="G456" s="42">
        <f>IF(I455&lt;'System Assumptions'!$E$29,0,-(MIN('Hydrological Data Model'!$E$34,'Hydrological Data Model'!$E$33-'System Assumptions'!$E$12))/12)</f>
        <v>-125252183.52495177</v>
      </c>
      <c r="H456" s="42">
        <f t="shared" si="83"/>
        <v>13549607334.625124</v>
      </c>
      <c r="I456" s="106">
        <f>H456/'System Assumptions'!$F$15</f>
        <v>15.252270619126433</v>
      </c>
      <c r="J456" s="42">
        <f>'System Assumptions'!$E$30+'System Assumptions'!$E$28-'Data Model Calculations'!I456</f>
        <v>64.501329380873571</v>
      </c>
      <c r="K456" s="45">
        <f t="shared" si="79"/>
        <v>53.81765325115979</v>
      </c>
      <c r="L456" s="46">
        <f t="shared" si="80"/>
        <v>729208069224226.25</v>
      </c>
      <c r="M456" s="47">
        <f>D456/1000*('System Assumptions'!$F$20*1000000)</f>
        <v>276691425000.00018</v>
      </c>
      <c r="N456" s="48"/>
      <c r="O456" s="49">
        <f>(F456/1000)*('System Assumptions'!$F$21*1000000)</f>
        <v>6427291623373.3125</v>
      </c>
      <c r="P456" s="49">
        <f t="shared" si="84"/>
        <v>-6740778581896.4834</v>
      </c>
      <c r="Q456" s="48">
        <f t="shared" si="81"/>
        <v>729171273690703</v>
      </c>
      <c r="R456" s="53">
        <f t="shared" si="82"/>
        <v>53.814937634934566</v>
      </c>
      <c r="S456" s="52">
        <v>35</v>
      </c>
    </row>
    <row r="457" spans="1:19">
      <c r="A457" s="3">
        <f t="shared" si="77"/>
        <v>38</v>
      </c>
      <c r="B457" s="3">
        <f t="shared" si="76"/>
        <v>455</v>
      </c>
      <c r="C457" s="40">
        <f t="shared" si="78"/>
        <v>13549607334.625124</v>
      </c>
      <c r="D457" s="41">
        <f>'System Assumptions'!$E$11/12</f>
        <v>75242280</v>
      </c>
      <c r="E457" s="41">
        <f>-'System Assumptions'!$E$10/12</f>
        <v>-133627000</v>
      </c>
      <c r="F457" s="41">
        <f>IF(I456&lt;'System Assumptions'!$E$29,'Hydrological Data Model'!$E$33/12,'Hydrological Data Model'!$E$33/12)</f>
        <v>183636903.52495179</v>
      </c>
      <c r="G457" s="42">
        <f>IF(I456&lt;'System Assumptions'!$E$29,0,-(MIN('Hydrological Data Model'!$E$34,'Hydrological Data Model'!$E$33-'System Assumptions'!$E$12))/12)</f>
        <v>-125252183.52495177</v>
      </c>
      <c r="H457" s="42">
        <f t="shared" si="83"/>
        <v>13549607334.625124</v>
      </c>
      <c r="I457" s="106">
        <f>H457/'System Assumptions'!$F$15</f>
        <v>15.252270619126433</v>
      </c>
      <c r="J457" s="42">
        <f>'System Assumptions'!$E$30+'System Assumptions'!$E$28-'Data Model Calculations'!I457</f>
        <v>64.501329380873571</v>
      </c>
      <c r="K457" s="45">
        <f t="shared" si="79"/>
        <v>53.814937634934566</v>
      </c>
      <c r="L457" s="46">
        <f t="shared" si="80"/>
        <v>729171273690703</v>
      </c>
      <c r="M457" s="47">
        <f>D457/1000*('System Assumptions'!$F$20*1000000)</f>
        <v>276691425000.00018</v>
      </c>
      <c r="N457" s="48"/>
      <c r="O457" s="49">
        <f>(F457/1000)*('System Assumptions'!$F$21*1000000)</f>
        <v>6427291623373.3125</v>
      </c>
      <c r="P457" s="49">
        <f t="shared" si="84"/>
        <v>-6740438445034.6582</v>
      </c>
      <c r="Q457" s="48">
        <f t="shared" si="81"/>
        <v>729134818294041.63</v>
      </c>
      <c r="R457" s="53">
        <f t="shared" si="82"/>
        <v>53.812247121788239</v>
      </c>
      <c r="S457" s="52">
        <v>35</v>
      </c>
    </row>
    <row r="458" spans="1:19">
      <c r="A458" s="3">
        <f t="shared" si="77"/>
        <v>38</v>
      </c>
      <c r="B458" s="3">
        <f t="shared" si="76"/>
        <v>456</v>
      </c>
      <c r="C458" s="40">
        <f t="shared" si="78"/>
        <v>13549607334.625124</v>
      </c>
      <c r="D458" s="41">
        <f>'System Assumptions'!$E$11/12</f>
        <v>75242280</v>
      </c>
      <c r="E458" s="41">
        <f>-'System Assumptions'!$E$10/12</f>
        <v>-133627000</v>
      </c>
      <c r="F458" s="41">
        <f>IF(I457&lt;'System Assumptions'!$E$29,'Hydrological Data Model'!$E$33/12,'Hydrological Data Model'!$E$33/12)</f>
        <v>183636903.52495179</v>
      </c>
      <c r="G458" s="42">
        <f>IF(I457&lt;'System Assumptions'!$E$29,0,-(MIN('Hydrological Data Model'!$E$34,'Hydrological Data Model'!$E$33-'System Assumptions'!$E$12))/12)</f>
        <v>-125252183.52495177</v>
      </c>
      <c r="H458" s="42">
        <f t="shared" si="83"/>
        <v>13549607334.625124</v>
      </c>
      <c r="I458" s="106">
        <f>H458/'System Assumptions'!$F$15</f>
        <v>15.252270619126433</v>
      </c>
      <c r="J458" s="42">
        <f>'System Assumptions'!$E$30+'System Assumptions'!$E$28-'Data Model Calculations'!I458</f>
        <v>64.501329380873571</v>
      </c>
      <c r="K458" s="45">
        <f t="shared" si="79"/>
        <v>53.812247121788239</v>
      </c>
      <c r="L458" s="46">
        <f t="shared" si="80"/>
        <v>729134818294041.63</v>
      </c>
      <c r="M458" s="47">
        <f>D458/1000*('System Assumptions'!$F$20*1000000)</f>
        <v>276691425000.00018</v>
      </c>
      <c r="N458" s="48"/>
      <c r="O458" s="49">
        <f>(F458/1000)*('System Assumptions'!$F$21*1000000)</f>
        <v>6427291623373.3125</v>
      </c>
      <c r="P458" s="49">
        <f t="shared" si="84"/>
        <v>-6740101452388.2783</v>
      </c>
      <c r="Q458" s="48">
        <f t="shared" si="81"/>
        <v>729098699890026.75</v>
      </c>
      <c r="R458" s="53">
        <f t="shared" si="82"/>
        <v>53.809581479668665</v>
      </c>
      <c r="S458" s="52">
        <v>35</v>
      </c>
    </row>
    <row r="459" spans="1:19">
      <c r="A459" s="3">
        <f t="shared" si="77"/>
        <v>39</v>
      </c>
      <c r="B459" s="3">
        <f t="shared" si="76"/>
        <v>457</v>
      </c>
      <c r="C459" s="40">
        <f t="shared" si="78"/>
        <v>13549607334.625124</v>
      </c>
      <c r="D459" s="41">
        <f>'System Assumptions'!$E$11/12</f>
        <v>75242280</v>
      </c>
      <c r="E459" s="41">
        <f>-'System Assumptions'!$E$10/12</f>
        <v>-133627000</v>
      </c>
      <c r="F459" s="41">
        <f>IF(I458&lt;'System Assumptions'!$E$29,'Hydrological Data Model'!$E$33/12,'Hydrological Data Model'!$E$33/12)</f>
        <v>183636903.52495179</v>
      </c>
      <c r="G459" s="42">
        <f>IF(I458&lt;'System Assumptions'!$E$29,0,-(MIN('Hydrological Data Model'!$E$34,'Hydrological Data Model'!$E$33-'System Assumptions'!$E$12))/12)</f>
        <v>-125252183.52495177</v>
      </c>
      <c r="H459" s="42">
        <f t="shared" si="83"/>
        <v>13549607334.625124</v>
      </c>
      <c r="I459" s="106">
        <f>H459/'System Assumptions'!$F$15</f>
        <v>15.252270619126433</v>
      </c>
      <c r="J459" s="42">
        <f>'System Assumptions'!$E$30+'System Assumptions'!$E$28-'Data Model Calculations'!I459</f>
        <v>64.501329380873571</v>
      </c>
      <c r="K459" s="45">
        <f t="shared" si="79"/>
        <v>53.809581479668665</v>
      </c>
      <c r="L459" s="46">
        <f t="shared" si="80"/>
        <v>729098699890026.75</v>
      </c>
      <c r="M459" s="47">
        <f>D459/1000*('System Assumptions'!$F$20*1000000)</f>
        <v>276691425000.00018</v>
      </c>
      <c r="N459" s="48"/>
      <c r="O459" s="49">
        <f>(F459/1000)*('System Assumptions'!$F$21*1000000)</f>
        <v>6427291623373.3125</v>
      </c>
      <c r="P459" s="49">
        <f t="shared" si="84"/>
        <v>-6739767574892.3047</v>
      </c>
      <c r="Q459" s="48">
        <f t="shared" si="81"/>
        <v>729062915363507.75</v>
      </c>
      <c r="R459" s="53">
        <f t="shared" si="82"/>
        <v>53.806940478668757</v>
      </c>
      <c r="S459" s="52">
        <v>35</v>
      </c>
    </row>
    <row r="460" spans="1:19">
      <c r="A460" s="3">
        <f t="shared" si="77"/>
        <v>39</v>
      </c>
      <c r="B460" s="3">
        <f t="shared" si="76"/>
        <v>458</v>
      </c>
      <c r="C460" s="40">
        <f t="shared" si="78"/>
        <v>13549607334.625124</v>
      </c>
      <c r="D460" s="41">
        <f>'System Assumptions'!$E$11/12</f>
        <v>75242280</v>
      </c>
      <c r="E460" s="41">
        <f>-'System Assumptions'!$E$10/12</f>
        <v>-133627000</v>
      </c>
      <c r="F460" s="41">
        <f>IF(I459&lt;'System Assumptions'!$E$29,'Hydrological Data Model'!$E$33/12,'Hydrological Data Model'!$E$33/12)</f>
        <v>183636903.52495179</v>
      </c>
      <c r="G460" s="42">
        <f>IF(I459&lt;'System Assumptions'!$E$29,0,-(MIN('Hydrological Data Model'!$E$34,'Hydrological Data Model'!$E$33-'System Assumptions'!$E$12))/12)</f>
        <v>-125252183.52495177</v>
      </c>
      <c r="H460" s="42">
        <f t="shared" si="83"/>
        <v>13549607334.625124</v>
      </c>
      <c r="I460" s="106">
        <f>H460/'System Assumptions'!$F$15</f>
        <v>15.252270619126433</v>
      </c>
      <c r="J460" s="42">
        <f>'System Assumptions'!$E$30+'System Assumptions'!$E$28-'Data Model Calculations'!I460</f>
        <v>64.501329380873571</v>
      </c>
      <c r="K460" s="45">
        <f t="shared" si="79"/>
        <v>53.806940478668757</v>
      </c>
      <c r="L460" s="46">
        <f t="shared" si="80"/>
        <v>729062915363507.75</v>
      </c>
      <c r="M460" s="47">
        <f>D460/1000*('System Assumptions'!$F$20*1000000)</f>
        <v>276691425000.00018</v>
      </c>
      <c r="N460" s="48"/>
      <c r="O460" s="49">
        <f>(F460/1000)*('System Assumptions'!$F$21*1000000)</f>
        <v>6427291623373.3125</v>
      </c>
      <c r="P460" s="49">
        <f t="shared" si="84"/>
        <v>-6739436783750.375</v>
      </c>
      <c r="Q460" s="48">
        <f t="shared" si="81"/>
        <v>729027461628130.63</v>
      </c>
      <c r="R460" s="53">
        <f t="shared" si="82"/>
        <v>53.804323891006739</v>
      </c>
      <c r="S460" s="52">
        <v>35</v>
      </c>
    </row>
    <row r="461" spans="1:19">
      <c r="A461" s="3">
        <f t="shared" si="77"/>
        <v>39</v>
      </c>
      <c r="B461" s="3">
        <f t="shared" si="76"/>
        <v>459</v>
      </c>
      <c r="C461" s="40">
        <f t="shared" si="78"/>
        <v>13549607334.625124</v>
      </c>
      <c r="D461" s="41">
        <f>'System Assumptions'!$E$11/12</f>
        <v>75242280</v>
      </c>
      <c r="E461" s="41">
        <f>-'System Assumptions'!$E$10/12</f>
        <v>-133627000</v>
      </c>
      <c r="F461" s="41">
        <f>IF(I460&lt;'System Assumptions'!$E$29,'Hydrological Data Model'!$E$33/12,'Hydrological Data Model'!$E$33/12)</f>
        <v>183636903.52495179</v>
      </c>
      <c r="G461" s="42">
        <f>IF(I460&lt;'System Assumptions'!$E$29,0,-(MIN('Hydrological Data Model'!$E$34,'Hydrological Data Model'!$E$33-'System Assumptions'!$E$12))/12)</f>
        <v>-125252183.52495177</v>
      </c>
      <c r="H461" s="42">
        <f t="shared" si="83"/>
        <v>13549607334.625124</v>
      </c>
      <c r="I461" s="106">
        <f>H461/'System Assumptions'!$F$15</f>
        <v>15.252270619126433</v>
      </c>
      <c r="J461" s="42">
        <f>'System Assumptions'!$E$30+'System Assumptions'!$E$28-'Data Model Calculations'!I461</f>
        <v>64.501329380873571</v>
      </c>
      <c r="K461" s="45">
        <f t="shared" si="79"/>
        <v>53.804323891006739</v>
      </c>
      <c r="L461" s="46">
        <f t="shared" si="80"/>
        <v>729027461628130.63</v>
      </c>
      <c r="M461" s="47">
        <f>D461/1000*('System Assumptions'!$F$20*1000000)</f>
        <v>276691425000.00018</v>
      </c>
      <c r="N461" s="48"/>
      <c r="O461" s="49">
        <f>(F461/1000)*('System Assumptions'!$F$21*1000000)</f>
        <v>6427291623373.3125</v>
      </c>
      <c r="P461" s="49">
        <f t="shared" si="84"/>
        <v>-6739109050432.3232</v>
      </c>
      <c r="Q461" s="48">
        <f t="shared" si="81"/>
        <v>728992335626071.63</v>
      </c>
      <c r="R461" s="53">
        <f t="shared" si="82"/>
        <v>53.801731491006386</v>
      </c>
      <c r="S461" s="52">
        <v>35</v>
      </c>
    </row>
    <row r="462" spans="1:19">
      <c r="A462" s="3">
        <f t="shared" si="77"/>
        <v>39</v>
      </c>
      <c r="B462" s="3">
        <f t="shared" si="76"/>
        <v>460</v>
      </c>
      <c r="C462" s="40">
        <f t="shared" si="78"/>
        <v>13549607334.625124</v>
      </c>
      <c r="D462" s="41">
        <f>'System Assumptions'!$E$11/12</f>
        <v>75242280</v>
      </c>
      <c r="E462" s="41">
        <f>-'System Assumptions'!$E$10/12</f>
        <v>-133627000</v>
      </c>
      <c r="F462" s="41">
        <f>IF(I461&lt;'System Assumptions'!$E$29,'Hydrological Data Model'!$E$33/12,'Hydrological Data Model'!$E$33/12)</f>
        <v>183636903.52495179</v>
      </c>
      <c r="G462" s="42">
        <f>IF(I461&lt;'System Assumptions'!$E$29,0,-(MIN('Hydrological Data Model'!$E$34,'Hydrological Data Model'!$E$33-'System Assumptions'!$E$12))/12)</f>
        <v>-125252183.52495177</v>
      </c>
      <c r="H462" s="42">
        <f t="shared" si="83"/>
        <v>13549607334.625124</v>
      </c>
      <c r="I462" s="106">
        <f>H462/'System Assumptions'!$F$15</f>
        <v>15.252270619126433</v>
      </c>
      <c r="J462" s="42">
        <f>'System Assumptions'!$E$30+'System Assumptions'!$E$28-'Data Model Calculations'!I462</f>
        <v>64.501329380873571</v>
      </c>
      <c r="K462" s="45">
        <f t="shared" si="79"/>
        <v>53.801731491006386</v>
      </c>
      <c r="L462" s="46">
        <f t="shared" si="80"/>
        <v>728992335626071.63</v>
      </c>
      <c r="M462" s="47">
        <f>D462/1000*('System Assumptions'!$F$20*1000000)</f>
        <v>276691425000.00018</v>
      </c>
      <c r="N462" s="48"/>
      <c r="O462" s="49">
        <f>(F462/1000)*('System Assumptions'!$F$21*1000000)</f>
        <v>6427291623373.3125</v>
      </c>
      <c r="P462" s="49">
        <f t="shared" si="84"/>
        <v>-6738784346671.709</v>
      </c>
      <c r="Q462" s="48">
        <f t="shared" si="81"/>
        <v>728957534327773.25</v>
      </c>
      <c r="R462" s="53">
        <f t="shared" si="82"/>
        <v>53.799163055077663</v>
      </c>
      <c r="S462" s="52">
        <v>35</v>
      </c>
    </row>
    <row r="463" spans="1:19">
      <c r="A463" s="3">
        <f t="shared" si="77"/>
        <v>39</v>
      </c>
      <c r="B463" s="3">
        <f t="shared" si="76"/>
        <v>461</v>
      </c>
      <c r="C463" s="40">
        <f t="shared" si="78"/>
        <v>13549607334.625124</v>
      </c>
      <c r="D463" s="41">
        <f>'System Assumptions'!$E$11/12</f>
        <v>75242280</v>
      </c>
      <c r="E463" s="41">
        <f>-'System Assumptions'!$E$10/12</f>
        <v>-133627000</v>
      </c>
      <c r="F463" s="41">
        <f>IF(I462&lt;'System Assumptions'!$E$29,'Hydrological Data Model'!$E$33/12,'Hydrological Data Model'!$E$33/12)</f>
        <v>183636903.52495179</v>
      </c>
      <c r="G463" s="42">
        <f>IF(I462&lt;'System Assumptions'!$E$29,0,-(MIN('Hydrological Data Model'!$E$34,'Hydrological Data Model'!$E$33-'System Assumptions'!$E$12))/12)</f>
        <v>-125252183.52495177</v>
      </c>
      <c r="H463" s="42">
        <f t="shared" si="83"/>
        <v>13549607334.625124</v>
      </c>
      <c r="I463" s="106">
        <f>H463/'System Assumptions'!$F$15</f>
        <v>15.252270619126433</v>
      </c>
      <c r="J463" s="42">
        <f>'System Assumptions'!$E$30+'System Assumptions'!$E$28-'Data Model Calculations'!I463</f>
        <v>64.501329380873571</v>
      </c>
      <c r="K463" s="45">
        <f t="shared" si="79"/>
        <v>53.799163055077663</v>
      </c>
      <c r="L463" s="46">
        <f t="shared" si="80"/>
        <v>728957534327773.25</v>
      </c>
      <c r="M463" s="47">
        <f>D463/1000*('System Assumptions'!$F$20*1000000)</f>
        <v>276691425000.00018</v>
      </c>
      <c r="N463" s="48"/>
      <c r="O463" s="49">
        <f>(F463/1000)*('System Assumptions'!$F$21*1000000)</f>
        <v>6427291623373.3125</v>
      </c>
      <c r="P463" s="49">
        <f t="shared" si="84"/>
        <v>-6738462644463.3916</v>
      </c>
      <c r="Q463" s="48">
        <f t="shared" si="81"/>
        <v>728923054731683.13</v>
      </c>
      <c r="R463" s="53">
        <f t="shared" si="82"/>
        <v>53.796618361697355</v>
      </c>
      <c r="S463" s="52">
        <v>35</v>
      </c>
    </row>
    <row r="464" spans="1:19">
      <c r="A464" s="3">
        <f t="shared" si="77"/>
        <v>39</v>
      </c>
      <c r="B464" s="3">
        <f t="shared" ref="B464:B527" si="85">B463+1</f>
        <v>462</v>
      </c>
      <c r="C464" s="40">
        <f t="shared" si="78"/>
        <v>13549607334.625124</v>
      </c>
      <c r="D464" s="41">
        <f>'System Assumptions'!$E$11/12</f>
        <v>75242280</v>
      </c>
      <c r="E464" s="41">
        <f>-'System Assumptions'!$E$10/12</f>
        <v>-133627000</v>
      </c>
      <c r="F464" s="41">
        <f>IF(I463&lt;'System Assumptions'!$E$29,'Hydrological Data Model'!$E$33/12,'Hydrological Data Model'!$E$33/12)</f>
        <v>183636903.52495179</v>
      </c>
      <c r="G464" s="42">
        <f>IF(I463&lt;'System Assumptions'!$E$29,0,-(MIN('Hydrological Data Model'!$E$34,'Hydrological Data Model'!$E$33-'System Assumptions'!$E$12))/12)</f>
        <v>-125252183.52495177</v>
      </c>
      <c r="H464" s="42">
        <f t="shared" si="83"/>
        <v>13549607334.625124</v>
      </c>
      <c r="I464" s="106">
        <f>H464/'System Assumptions'!$F$15</f>
        <v>15.252270619126433</v>
      </c>
      <c r="J464" s="42">
        <f>'System Assumptions'!$E$30+'System Assumptions'!$E$28-'Data Model Calculations'!I464</f>
        <v>64.501329380873571</v>
      </c>
      <c r="K464" s="45">
        <f t="shared" si="79"/>
        <v>53.796618361697355</v>
      </c>
      <c r="L464" s="46">
        <f t="shared" si="80"/>
        <v>728923054731683.13</v>
      </c>
      <c r="M464" s="47">
        <f>D464/1000*('System Assumptions'!$F$20*1000000)</f>
        <v>276691425000.00018</v>
      </c>
      <c r="N464" s="48"/>
      <c r="O464" s="49">
        <f>(F464/1000)*('System Assumptions'!$F$21*1000000)</f>
        <v>6427291623373.3125</v>
      </c>
      <c r="P464" s="49">
        <f t="shared" si="84"/>
        <v>-6738143916061.1074</v>
      </c>
      <c r="Q464" s="48">
        <f t="shared" si="81"/>
        <v>728888893863995.38</v>
      </c>
      <c r="R464" s="53">
        <f t="shared" si="82"/>
        <v>53.794097191390051</v>
      </c>
      <c r="S464" s="52">
        <v>35</v>
      </c>
    </row>
    <row r="465" spans="1:19">
      <c r="A465" s="3">
        <f t="shared" si="77"/>
        <v>39</v>
      </c>
      <c r="B465" s="3">
        <f t="shared" si="85"/>
        <v>463</v>
      </c>
      <c r="C465" s="40">
        <f t="shared" si="78"/>
        <v>13549607334.625124</v>
      </c>
      <c r="D465" s="41">
        <f>'System Assumptions'!$E$11/12</f>
        <v>75242280</v>
      </c>
      <c r="E465" s="41">
        <f>-'System Assumptions'!$E$10/12</f>
        <v>-133627000</v>
      </c>
      <c r="F465" s="41">
        <f>IF(I464&lt;'System Assumptions'!$E$29,'Hydrological Data Model'!$E$33/12,'Hydrological Data Model'!$E$33/12)</f>
        <v>183636903.52495179</v>
      </c>
      <c r="G465" s="42">
        <f>IF(I464&lt;'System Assumptions'!$E$29,0,-(MIN('Hydrological Data Model'!$E$34,'Hydrological Data Model'!$E$33-'System Assumptions'!$E$12))/12)</f>
        <v>-125252183.52495177</v>
      </c>
      <c r="H465" s="42">
        <f t="shared" si="83"/>
        <v>13549607334.625124</v>
      </c>
      <c r="I465" s="106">
        <f>H465/'System Assumptions'!$F$15</f>
        <v>15.252270619126433</v>
      </c>
      <c r="J465" s="42">
        <f>'System Assumptions'!$E$30+'System Assumptions'!$E$28-'Data Model Calculations'!I465</f>
        <v>64.501329380873571</v>
      </c>
      <c r="K465" s="45">
        <f t="shared" si="79"/>
        <v>53.794097191390051</v>
      </c>
      <c r="L465" s="46">
        <f t="shared" si="80"/>
        <v>728888893863995.38</v>
      </c>
      <c r="M465" s="47">
        <f>D465/1000*('System Assumptions'!$F$20*1000000)</f>
        <v>276691425000.00018</v>
      </c>
      <c r="N465" s="48"/>
      <c r="O465" s="49">
        <f>(F465/1000)*('System Assumptions'!$F$21*1000000)</f>
        <v>6427291623373.3125</v>
      </c>
      <c r="P465" s="49">
        <f t="shared" si="84"/>
        <v>-6737828133975.0791</v>
      </c>
      <c r="Q465" s="48">
        <f t="shared" si="81"/>
        <v>728855048778393.63</v>
      </c>
      <c r="R465" s="53">
        <f t="shared" si="82"/>
        <v>53.791599326709104</v>
      </c>
      <c r="S465" s="52">
        <v>35</v>
      </c>
    </row>
    <row r="466" spans="1:19">
      <c r="A466" s="3">
        <f t="shared" si="77"/>
        <v>39</v>
      </c>
      <c r="B466" s="3">
        <f t="shared" si="85"/>
        <v>464</v>
      </c>
      <c r="C466" s="40">
        <f t="shared" si="78"/>
        <v>13549607334.625124</v>
      </c>
      <c r="D466" s="41">
        <f>'System Assumptions'!$E$11/12</f>
        <v>75242280</v>
      </c>
      <c r="E466" s="41">
        <f>-'System Assumptions'!$E$10/12</f>
        <v>-133627000</v>
      </c>
      <c r="F466" s="41">
        <f>IF(I465&lt;'System Assumptions'!$E$29,'Hydrological Data Model'!$E$33/12,'Hydrological Data Model'!$E$33/12)</f>
        <v>183636903.52495179</v>
      </c>
      <c r="G466" s="42">
        <f>IF(I465&lt;'System Assumptions'!$E$29,0,-(MIN('Hydrological Data Model'!$E$34,'Hydrological Data Model'!$E$33-'System Assumptions'!$E$12))/12)</f>
        <v>-125252183.52495177</v>
      </c>
      <c r="H466" s="42">
        <f t="shared" si="83"/>
        <v>13549607334.625124</v>
      </c>
      <c r="I466" s="106">
        <f>H466/'System Assumptions'!$F$15</f>
        <v>15.252270619126433</v>
      </c>
      <c r="J466" s="42">
        <f>'System Assumptions'!$E$30+'System Assumptions'!$E$28-'Data Model Calculations'!I466</f>
        <v>64.501329380873571</v>
      </c>
      <c r="K466" s="45">
        <f t="shared" si="79"/>
        <v>53.791599326709104</v>
      </c>
      <c r="L466" s="46">
        <f t="shared" si="80"/>
        <v>728855048778393.63</v>
      </c>
      <c r="M466" s="47">
        <f>D466/1000*('System Assumptions'!$F$20*1000000)</f>
        <v>276691425000.00018</v>
      </c>
      <c r="N466" s="48"/>
      <c r="O466" s="49">
        <f>(F466/1000)*('System Assumptions'!$F$21*1000000)</f>
        <v>6427291623373.3125</v>
      </c>
      <c r="P466" s="49">
        <f t="shared" si="84"/>
        <v>-6737515270969.6406</v>
      </c>
      <c r="Q466" s="48">
        <f t="shared" si="81"/>
        <v>728821516555797.38</v>
      </c>
      <c r="R466" s="53">
        <f t="shared" si="82"/>
        <v>53.789124552217999</v>
      </c>
      <c r="S466" s="52">
        <v>35</v>
      </c>
    </row>
    <row r="467" spans="1:19">
      <c r="A467" s="3">
        <f t="shared" si="77"/>
        <v>39</v>
      </c>
      <c r="B467" s="3">
        <f t="shared" si="85"/>
        <v>465</v>
      </c>
      <c r="C467" s="40">
        <f t="shared" si="78"/>
        <v>13549607334.625124</v>
      </c>
      <c r="D467" s="41">
        <f>'System Assumptions'!$E$11/12</f>
        <v>75242280</v>
      </c>
      <c r="E467" s="41">
        <f>-'System Assumptions'!$E$10/12</f>
        <v>-133627000</v>
      </c>
      <c r="F467" s="41">
        <f>IF(I466&lt;'System Assumptions'!$E$29,'Hydrological Data Model'!$E$33/12,'Hydrological Data Model'!$E$33/12)</f>
        <v>183636903.52495179</v>
      </c>
      <c r="G467" s="42">
        <f>IF(I466&lt;'System Assumptions'!$E$29,0,-(MIN('Hydrological Data Model'!$E$34,'Hydrological Data Model'!$E$33-'System Assumptions'!$E$12))/12)</f>
        <v>-125252183.52495177</v>
      </c>
      <c r="H467" s="42">
        <f t="shared" si="83"/>
        <v>13549607334.625124</v>
      </c>
      <c r="I467" s="106">
        <f>H467/'System Assumptions'!$F$15</f>
        <v>15.252270619126433</v>
      </c>
      <c r="J467" s="42">
        <f>'System Assumptions'!$E$30+'System Assumptions'!$E$28-'Data Model Calculations'!I467</f>
        <v>64.501329380873571</v>
      </c>
      <c r="K467" s="45">
        <f t="shared" si="79"/>
        <v>53.789124552217999</v>
      </c>
      <c r="L467" s="46">
        <f t="shared" si="80"/>
        <v>728821516555797.38</v>
      </c>
      <c r="M467" s="47">
        <f>D467/1000*('System Assumptions'!$F$20*1000000)</f>
        <v>276691425000.00018</v>
      </c>
      <c r="N467" s="48"/>
      <c r="O467" s="49">
        <f>(F467/1000)*('System Assumptions'!$F$21*1000000)</f>
        <v>6427291623373.3125</v>
      </c>
      <c r="P467" s="49">
        <f t="shared" si="84"/>
        <v>-6737205300060.8984</v>
      </c>
      <c r="Q467" s="48">
        <f t="shared" si="81"/>
        <v>728788294304109.88</v>
      </c>
      <c r="R467" s="53">
        <f t="shared" si="82"/>
        <v>53.786672654471666</v>
      </c>
      <c r="S467" s="52">
        <v>35</v>
      </c>
    </row>
    <row r="468" spans="1:19">
      <c r="A468" s="3">
        <f t="shared" si="77"/>
        <v>39</v>
      </c>
      <c r="B468" s="3">
        <f t="shared" si="85"/>
        <v>466</v>
      </c>
      <c r="C468" s="40">
        <f t="shared" si="78"/>
        <v>13549607334.625124</v>
      </c>
      <c r="D468" s="41">
        <f>'System Assumptions'!$E$11/12</f>
        <v>75242280</v>
      </c>
      <c r="E468" s="41">
        <f>-'System Assumptions'!$E$10/12</f>
        <v>-133627000</v>
      </c>
      <c r="F468" s="41">
        <f>IF(I467&lt;'System Assumptions'!$E$29,'Hydrological Data Model'!$E$33/12,'Hydrological Data Model'!$E$33/12)</f>
        <v>183636903.52495179</v>
      </c>
      <c r="G468" s="42">
        <f>IF(I467&lt;'System Assumptions'!$E$29,0,-(MIN('Hydrological Data Model'!$E$34,'Hydrological Data Model'!$E$33-'System Assumptions'!$E$12))/12)</f>
        <v>-125252183.52495177</v>
      </c>
      <c r="H468" s="42">
        <f t="shared" si="83"/>
        <v>13549607334.625124</v>
      </c>
      <c r="I468" s="106">
        <f>H468/'System Assumptions'!$F$15</f>
        <v>15.252270619126433</v>
      </c>
      <c r="J468" s="42">
        <f>'System Assumptions'!$E$30+'System Assumptions'!$E$28-'Data Model Calculations'!I468</f>
        <v>64.501329380873571</v>
      </c>
      <c r="K468" s="45">
        <f t="shared" si="79"/>
        <v>53.786672654471666</v>
      </c>
      <c r="L468" s="46">
        <f t="shared" si="80"/>
        <v>728788294304109.88</v>
      </c>
      <c r="M468" s="47">
        <f>D468/1000*('System Assumptions'!$F$20*1000000)</f>
        <v>276691425000.00018</v>
      </c>
      <c r="N468" s="48"/>
      <c r="O468" s="49">
        <f>(F468/1000)*('System Assumptions'!$F$21*1000000)</f>
        <v>6427291623373.3125</v>
      </c>
      <c r="P468" s="49">
        <f t="shared" si="84"/>
        <v>-6736898194514.3896</v>
      </c>
      <c r="Q468" s="48">
        <f t="shared" si="81"/>
        <v>728755379157968.88</v>
      </c>
      <c r="R468" s="53">
        <f t="shared" si="82"/>
        <v>53.784243421998127</v>
      </c>
      <c r="S468" s="52">
        <v>35</v>
      </c>
    </row>
    <row r="469" spans="1:19">
      <c r="A469" s="3">
        <f t="shared" si="77"/>
        <v>39</v>
      </c>
      <c r="B469" s="3">
        <f t="shared" si="85"/>
        <v>467</v>
      </c>
      <c r="C469" s="40">
        <f t="shared" si="78"/>
        <v>13549607334.625124</v>
      </c>
      <c r="D469" s="41">
        <f>'System Assumptions'!$E$11/12</f>
        <v>75242280</v>
      </c>
      <c r="E469" s="41">
        <f>-'System Assumptions'!$E$10/12</f>
        <v>-133627000</v>
      </c>
      <c r="F469" s="41">
        <f>IF(I468&lt;'System Assumptions'!$E$29,'Hydrological Data Model'!$E$33/12,'Hydrological Data Model'!$E$33/12)</f>
        <v>183636903.52495179</v>
      </c>
      <c r="G469" s="42">
        <f>IF(I468&lt;'System Assumptions'!$E$29,0,-(MIN('Hydrological Data Model'!$E$34,'Hydrological Data Model'!$E$33-'System Assumptions'!$E$12))/12)</f>
        <v>-125252183.52495177</v>
      </c>
      <c r="H469" s="42">
        <f t="shared" si="83"/>
        <v>13549607334.625124</v>
      </c>
      <c r="I469" s="106">
        <f>H469/'System Assumptions'!$F$15</f>
        <v>15.252270619126433</v>
      </c>
      <c r="J469" s="42">
        <f>'System Assumptions'!$E$30+'System Assumptions'!$E$28-'Data Model Calculations'!I469</f>
        <v>64.501329380873571</v>
      </c>
      <c r="K469" s="45">
        <f t="shared" si="79"/>
        <v>53.784243421998127</v>
      </c>
      <c r="L469" s="46">
        <f t="shared" si="80"/>
        <v>728755379157968.88</v>
      </c>
      <c r="M469" s="47">
        <f>D469/1000*('System Assumptions'!$F$20*1000000)</f>
        <v>276691425000.00018</v>
      </c>
      <c r="N469" s="48"/>
      <c r="O469" s="49">
        <f>(F469/1000)*('System Assumptions'!$F$21*1000000)</f>
        <v>6427291623373.3125</v>
      </c>
      <c r="P469" s="49">
        <f t="shared" si="84"/>
        <v>-6736593927842.7891</v>
      </c>
      <c r="Q469" s="48">
        <f t="shared" si="81"/>
        <v>728722768278499.5</v>
      </c>
      <c r="R469" s="53">
        <f t="shared" si="82"/>
        <v>53.781836645280244</v>
      </c>
      <c r="S469" s="52">
        <v>35</v>
      </c>
    </row>
    <row r="470" spans="1:19">
      <c r="A470" s="3">
        <f t="shared" si="77"/>
        <v>39</v>
      </c>
      <c r="B470" s="3">
        <f t="shared" si="85"/>
        <v>468</v>
      </c>
      <c r="C470" s="40">
        <f t="shared" si="78"/>
        <v>13549607334.625124</v>
      </c>
      <c r="D470" s="41">
        <f>'System Assumptions'!$E$11/12</f>
        <v>75242280</v>
      </c>
      <c r="E470" s="41">
        <f>-'System Assumptions'!$E$10/12</f>
        <v>-133627000</v>
      </c>
      <c r="F470" s="41">
        <f>IF(I469&lt;'System Assumptions'!$E$29,'Hydrological Data Model'!$E$33/12,'Hydrological Data Model'!$E$33/12)</f>
        <v>183636903.52495179</v>
      </c>
      <c r="G470" s="42">
        <f>IF(I469&lt;'System Assumptions'!$E$29,0,-(MIN('Hydrological Data Model'!$E$34,'Hydrological Data Model'!$E$33-'System Assumptions'!$E$12))/12)</f>
        <v>-125252183.52495177</v>
      </c>
      <c r="H470" s="42">
        <f t="shared" si="83"/>
        <v>13549607334.625124</v>
      </c>
      <c r="I470" s="106">
        <f>H470/'System Assumptions'!$F$15</f>
        <v>15.252270619126433</v>
      </c>
      <c r="J470" s="42">
        <f>'System Assumptions'!$E$30+'System Assumptions'!$E$28-'Data Model Calculations'!I470</f>
        <v>64.501329380873571</v>
      </c>
      <c r="K470" s="45">
        <f t="shared" si="79"/>
        <v>53.781836645280244</v>
      </c>
      <c r="L470" s="46">
        <f t="shared" si="80"/>
        <v>728722768278499.5</v>
      </c>
      <c r="M470" s="47">
        <f>D470/1000*('System Assumptions'!$F$20*1000000)</f>
        <v>276691425000.00018</v>
      </c>
      <c r="N470" s="48"/>
      <c r="O470" s="49">
        <f>(F470/1000)*('System Assumptions'!$F$21*1000000)</f>
        <v>6427291623373.3125</v>
      </c>
      <c r="P470" s="49">
        <f t="shared" si="84"/>
        <v>-6736292473803.6172</v>
      </c>
      <c r="Q470" s="48">
        <f t="shared" si="81"/>
        <v>728690458853069.13</v>
      </c>
      <c r="R470" s="53">
        <f t="shared" si="82"/>
        <v>53.779452116737659</v>
      </c>
      <c r="S470" s="52">
        <v>35</v>
      </c>
    </row>
    <row r="471" spans="1:19">
      <c r="A471" s="3">
        <f t="shared" si="77"/>
        <v>40</v>
      </c>
      <c r="B471" s="3">
        <f t="shared" si="85"/>
        <v>469</v>
      </c>
      <c r="C471" s="40">
        <f t="shared" si="78"/>
        <v>13549607334.625124</v>
      </c>
      <c r="D471" s="41">
        <f>'System Assumptions'!$E$11/12</f>
        <v>75242280</v>
      </c>
      <c r="E471" s="41">
        <f>-'System Assumptions'!$E$10/12</f>
        <v>-133627000</v>
      </c>
      <c r="F471" s="41">
        <f>IF(I470&lt;'System Assumptions'!$E$29,'Hydrological Data Model'!$E$33/12,'Hydrological Data Model'!$E$33/12)</f>
        <v>183636903.52495179</v>
      </c>
      <c r="G471" s="42">
        <f>IF(I470&lt;'System Assumptions'!$E$29,0,-(MIN('Hydrological Data Model'!$E$34,'Hydrological Data Model'!$E$33-'System Assumptions'!$E$12))/12)</f>
        <v>-125252183.52495177</v>
      </c>
      <c r="H471" s="42">
        <f t="shared" si="83"/>
        <v>13549607334.625124</v>
      </c>
      <c r="I471" s="106">
        <f>H471/'System Assumptions'!$F$15</f>
        <v>15.252270619126433</v>
      </c>
      <c r="J471" s="42">
        <f>'System Assumptions'!$E$30+'System Assumptions'!$E$28-'Data Model Calculations'!I471</f>
        <v>64.501329380873571</v>
      </c>
      <c r="K471" s="45">
        <f t="shared" si="79"/>
        <v>53.779452116737659</v>
      </c>
      <c r="L471" s="46">
        <f t="shared" si="80"/>
        <v>728690458853069.13</v>
      </c>
      <c r="M471" s="47">
        <f>D471/1000*('System Assumptions'!$F$20*1000000)</f>
        <v>276691425000.00018</v>
      </c>
      <c r="N471" s="48"/>
      <c r="O471" s="49">
        <f>(F471/1000)*('System Assumptions'!$F$21*1000000)</f>
        <v>6427291623373.3125</v>
      </c>
      <c r="P471" s="49">
        <f t="shared" si="84"/>
        <v>-6735993806396.9814</v>
      </c>
      <c r="Q471" s="48">
        <f t="shared" si="81"/>
        <v>728658448095045.5</v>
      </c>
      <c r="R471" s="53">
        <f t="shared" si="82"/>
        <v>53.777089630708865</v>
      </c>
      <c r="S471" s="52">
        <v>35</v>
      </c>
    </row>
    <row r="472" spans="1:19">
      <c r="A472" s="3">
        <f t="shared" si="77"/>
        <v>40</v>
      </c>
      <c r="B472" s="3">
        <f t="shared" si="85"/>
        <v>470</v>
      </c>
      <c r="C472" s="40">
        <f t="shared" si="78"/>
        <v>13549607334.625124</v>
      </c>
      <c r="D472" s="41">
        <f>'System Assumptions'!$E$11/12</f>
        <v>75242280</v>
      </c>
      <c r="E472" s="41">
        <f>-'System Assumptions'!$E$10/12</f>
        <v>-133627000</v>
      </c>
      <c r="F472" s="41">
        <f>IF(I471&lt;'System Assumptions'!$E$29,'Hydrological Data Model'!$E$33/12,'Hydrological Data Model'!$E$33/12)</f>
        <v>183636903.52495179</v>
      </c>
      <c r="G472" s="42">
        <f>IF(I471&lt;'System Assumptions'!$E$29,0,-(MIN('Hydrological Data Model'!$E$34,'Hydrological Data Model'!$E$33-'System Assumptions'!$E$12))/12)</f>
        <v>-125252183.52495177</v>
      </c>
      <c r="H472" s="42">
        <f t="shared" si="83"/>
        <v>13549607334.625124</v>
      </c>
      <c r="I472" s="106">
        <f>H472/'System Assumptions'!$F$15</f>
        <v>15.252270619126433</v>
      </c>
      <c r="J472" s="42">
        <f>'System Assumptions'!$E$30+'System Assumptions'!$E$28-'Data Model Calculations'!I472</f>
        <v>64.501329380873571</v>
      </c>
      <c r="K472" s="45">
        <f t="shared" si="79"/>
        <v>53.777089630708865</v>
      </c>
      <c r="L472" s="46">
        <f t="shared" si="80"/>
        <v>728658448095045.5</v>
      </c>
      <c r="M472" s="47">
        <f>D472/1000*('System Assumptions'!$F$20*1000000)</f>
        <v>276691425000.00018</v>
      </c>
      <c r="N472" s="48"/>
      <c r="O472" s="49">
        <f>(F472/1000)*('System Assumptions'!$F$21*1000000)</f>
        <v>6427291623373.3125</v>
      </c>
      <c r="P472" s="49">
        <f t="shared" si="84"/>
        <v>-6735697899863.3271</v>
      </c>
      <c r="Q472" s="48">
        <f t="shared" si="81"/>
        <v>728626733243555.38</v>
      </c>
      <c r="R472" s="53">
        <f t="shared" si="82"/>
        <v>53.77474898343349</v>
      </c>
      <c r="S472" s="52">
        <v>35</v>
      </c>
    </row>
    <row r="473" spans="1:19">
      <c r="A473" s="3">
        <f t="shared" si="77"/>
        <v>40</v>
      </c>
      <c r="B473" s="3">
        <f t="shared" si="85"/>
        <v>471</v>
      </c>
      <c r="C473" s="40">
        <f t="shared" si="78"/>
        <v>13549607334.625124</v>
      </c>
      <c r="D473" s="41">
        <f>'System Assumptions'!$E$11/12</f>
        <v>75242280</v>
      </c>
      <c r="E473" s="41">
        <f>-'System Assumptions'!$E$10/12</f>
        <v>-133627000</v>
      </c>
      <c r="F473" s="41">
        <f>IF(I472&lt;'System Assumptions'!$E$29,'Hydrological Data Model'!$E$33/12,'Hydrological Data Model'!$E$33/12)</f>
        <v>183636903.52495179</v>
      </c>
      <c r="G473" s="42">
        <f>IF(I472&lt;'System Assumptions'!$E$29,0,-(MIN('Hydrological Data Model'!$E$34,'Hydrological Data Model'!$E$33-'System Assumptions'!$E$12))/12)</f>
        <v>-125252183.52495177</v>
      </c>
      <c r="H473" s="42">
        <f t="shared" si="83"/>
        <v>13549607334.625124</v>
      </c>
      <c r="I473" s="106">
        <f>H473/'System Assumptions'!$F$15</f>
        <v>15.252270619126433</v>
      </c>
      <c r="J473" s="42">
        <f>'System Assumptions'!$E$30+'System Assumptions'!$E$28-'Data Model Calculations'!I473</f>
        <v>64.501329380873571</v>
      </c>
      <c r="K473" s="45">
        <f t="shared" si="79"/>
        <v>53.77474898343349</v>
      </c>
      <c r="L473" s="46">
        <f t="shared" si="80"/>
        <v>728626733243555.38</v>
      </c>
      <c r="M473" s="47">
        <f>D473/1000*('System Assumptions'!$F$20*1000000)</f>
        <v>276691425000.00018</v>
      </c>
      <c r="N473" s="48"/>
      <c r="O473" s="49">
        <f>(F473/1000)*('System Assumptions'!$F$21*1000000)</f>
        <v>6427291623373.3125</v>
      </c>
      <c r="P473" s="49">
        <f t="shared" si="84"/>
        <v>-6735404728681.2246</v>
      </c>
      <c r="Q473" s="48">
        <f t="shared" si="81"/>
        <v>728595311563247.5</v>
      </c>
      <c r="R473" s="53">
        <f t="shared" si="82"/>
        <v>53.772429973034747</v>
      </c>
      <c r="S473" s="52">
        <v>35</v>
      </c>
    </row>
    <row r="474" spans="1:19">
      <c r="A474" s="3">
        <f t="shared" si="77"/>
        <v>40</v>
      </c>
      <c r="B474" s="3">
        <f t="shared" si="85"/>
        <v>472</v>
      </c>
      <c r="C474" s="40">
        <f t="shared" si="78"/>
        <v>13549607334.625124</v>
      </c>
      <c r="D474" s="41">
        <f>'System Assumptions'!$E$11/12</f>
        <v>75242280</v>
      </c>
      <c r="E474" s="41">
        <f>-'System Assumptions'!$E$10/12</f>
        <v>-133627000</v>
      </c>
      <c r="F474" s="41">
        <f>IF(I473&lt;'System Assumptions'!$E$29,'Hydrological Data Model'!$E$33/12,'Hydrological Data Model'!$E$33/12)</f>
        <v>183636903.52495179</v>
      </c>
      <c r="G474" s="42">
        <f>IF(I473&lt;'System Assumptions'!$E$29,0,-(MIN('Hydrological Data Model'!$E$34,'Hydrological Data Model'!$E$33-'System Assumptions'!$E$12))/12)</f>
        <v>-125252183.52495177</v>
      </c>
      <c r="H474" s="42">
        <f t="shared" si="83"/>
        <v>13549607334.625124</v>
      </c>
      <c r="I474" s="106">
        <f>H474/'System Assumptions'!$F$15</f>
        <v>15.252270619126433</v>
      </c>
      <c r="J474" s="42">
        <f>'System Assumptions'!$E$30+'System Assumptions'!$E$28-'Data Model Calculations'!I474</f>
        <v>64.501329380873571</v>
      </c>
      <c r="K474" s="45">
        <f t="shared" si="79"/>
        <v>53.772429973034747</v>
      </c>
      <c r="L474" s="46">
        <f t="shared" si="80"/>
        <v>728595311563247.5</v>
      </c>
      <c r="M474" s="47">
        <f>D474/1000*('System Assumptions'!$F$20*1000000)</f>
        <v>276691425000.00018</v>
      </c>
      <c r="N474" s="48"/>
      <c r="O474" s="49">
        <f>(F474/1000)*('System Assumptions'!$F$21*1000000)</f>
        <v>6427291623373.3125</v>
      </c>
      <c r="P474" s="49">
        <f t="shared" si="84"/>
        <v>-6735114267565.165</v>
      </c>
      <c r="Q474" s="48">
        <f t="shared" si="81"/>
        <v>728564180344055.63</v>
      </c>
      <c r="R474" s="53">
        <f t="shared" si="82"/>
        <v>53.770132399501954</v>
      </c>
      <c r="S474" s="52">
        <v>35</v>
      </c>
    </row>
    <row r="475" spans="1:19">
      <c r="A475" s="3">
        <f t="shared" si="77"/>
        <v>40</v>
      </c>
      <c r="B475" s="3">
        <f t="shared" si="85"/>
        <v>473</v>
      </c>
      <c r="C475" s="40">
        <f t="shared" si="78"/>
        <v>13549607334.625124</v>
      </c>
      <c r="D475" s="41">
        <f>'System Assumptions'!$E$11/12</f>
        <v>75242280</v>
      </c>
      <c r="E475" s="41">
        <f>-'System Assumptions'!$E$10/12</f>
        <v>-133627000</v>
      </c>
      <c r="F475" s="41">
        <f>IF(I474&lt;'System Assumptions'!$E$29,'Hydrological Data Model'!$E$33/12,'Hydrological Data Model'!$E$33/12)</f>
        <v>183636903.52495179</v>
      </c>
      <c r="G475" s="42">
        <f>IF(I474&lt;'System Assumptions'!$E$29,0,-(MIN('Hydrological Data Model'!$E$34,'Hydrological Data Model'!$E$33-'System Assumptions'!$E$12))/12)</f>
        <v>-125252183.52495177</v>
      </c>
      <c r="H475" s="42">
        <f t="shared" si="83"/>
        <v>13549607334.625124</v>
      </c>
      <c r="I475" s="106">
        <f>H475/'System Assumptions'!$F$15</f>
        <v>15.252270619126433</v>
      </c>
      <c r="J475" s="42">
        <f>'System Assumptions'!$E$30+'System Assumptions'!$E$28-'Data Model Calculations'!I475</f>
        <v>64.501329380873571</v>
      </c>
      <c r="K475" s="45">
        <f t="shared" si="79"/>
        <v>53.770132399501954</v>
      </c>
      <c r="L475" s="46">
        <f t="shared" si="80"/>
        <v>728564180344055.63</v>
      </c>
      <c r="M475" s="47">
        <f>D475/1000*('System Assumptions'!$F$20*1000000)</f>
        <v>276691425000.00018</v>
      </c>
      <c r="N475" s="48"/>
      <c r="O475" s="49">
        <f>(F475/1000)*('System Assumptions'!$F$21*1000000)</f>
        <v>6427291623373.3125</v>
      </c>
      <c r="P475" s="49">
        <f t="shared" si="84"/>
        <v>-6734826491463.374</v>
      </c>
      <c r="Q475" s="48">
        <f t="shared" si="81"/>
        <v>728533336900965.63</v>
      </c>
      <c r="R475" s="53">
        <f t="shared" si="82"/>
        <v>53.767856064673325</v>
      </c>
      <c r="S475" s="52">
        <v>35</v>
      </c>
    </row>
    <row r="476" spans="1:19">
      <c r="A476" s="3">
        <f t="shared" si="77"/>
        <v>40</v>
      </c>
      <c r="B476" s="3">
        <f t="shared" si="85"/>
        <v>474</v>
      </c>
      <c r="C476" s="40">
        <f t="shared" si="78"/>
        <v>13549607334.625124</v>
      </c>
      <c r="D476" s="41">
        <f>'System Assumptions'!$E$11/12</f>
        <v>75242280</v>
      </c>
      <c r="E476" s="41">
        <f>-'System Assumptions'!$E$10/12</f>
        <v>-133627000</v>
      </c>
      <c r="F476" s="41">
        <f>IF(I475&lt;'System Assumptions'!$E$29,'Hydrological Data Model'!$E$33/12,'Hydrological Data Model'!$E$33/12)</f>
        <v>183636903.52495179</v>
      </c>
      <c r="G476" s="42">
        <f>IF(I475&lt;'System Assumptions'!$E$29,0,-(MIN('Hydrological Data Model'!$E$34,'Hydrological Data Model'!$E$33-'System Assumptions'!$E$12))/12)</f>
        <v>-125252183.52495177</v>
      </c>
      <c r="H476" s="42">
        <f t="shared" si="83"/>
        <v>13549607334.625124</v>
      </c>
      <c r="I476" s="106">
        <f>H476/'System Assumptions'!$F$15</f>
        <v>15.252270619126433</v>
      </c>
      <c r="J476" s="42">
        <f>'System Assumptions'!$E$30+'System Assumptions'!$E$28-'Data Model Calculations'!I476</f>
        <v>64.501329380873571</v>
      </c>
      <c r="K476" s="45">
        <f t="shared" si="79"/>
        <v>53.767856064673325</v>
      </c>
      <c r="L476" s="46">
        <f t="shared" si="80"/>
        <v>728533336900965.63</v>
      </c>
      <c r="M476" s="47">
        <f>D476/1000*('System Assumptions'!$F$20*1000000)</f>
        <v>276691425000.00018</v>
      </c>
      <c r="N476" s="48"/>
      <c r="O476" s="49">
        <f>(F476/1000)*('System Assumptions'!$F$21*1000000)</f>
        <v>6427291623373.3125</v>
      </c>
      <c r="P476" s="49">
        <f t="shared" si="84"/>
        <v>-6734541375555.6543</v>
      </c>
      <c r="Q476" s="48">
        <f t="shared" si="81"/>
        <v>728502778573783.38</v>
      </c>
      <c r="R476" s="53">
        <f t="shared" si="82"/>
        <v>53.765600772218896</v>
      </c>
      <c r="S476" s="52">
        <v>35</v>
      </c>
    </row>
    <row r="477" spans="1:19">
      <c r="A477" s="3">
        <f t="shared" si="77"/>
        <v>40</v>
      </c>
      <c r="B477" s="3">
        <f t="shared" si="85"/>
        <v>475</v>
      </c>
      <c r="C477" s="40">
        <f t="shared" si="78"/>
        <v>13549607334.625124</v>
      </c>
      <c r="D477" s="41">
        <f>'System Assumptions'!$E$11/12</f>
        <v>75242280</v>
      </c>
      <c r="E477" s="41">
        <f>-'System Assumptions'!$E$10/12</f>
        <v>-133627000</v>
      </c>
      <c r="F477" s="41">
        <f>IF(I476&lt;'System Assumptions'!$E$29,'Hydrological Data Model'!$E$33/12,'Hydrological Data Model'!$E$33/12)</f>
        <v>183636903.52495179</v>
      </c>
      <c r="G477" s="42">
        <f>IF(I476&lt;'System Assumptions'!$E$29,0,-(MIN('Hydrological Data Model'!$E$34,'Hydrological Data Model'!$E$33-'System Assumptions'!$E$12))/12)</f>
        <v>-125252183.52495177</v>
      </c>
      <c r="H477" s="42">
        <f t="shared" si="83"/>
        <v>13549607334.625124</v>
      </c>
      <c r="I477" s="106">
        <f>H477/'System Assumptions'!$F$15</f>
        <v>15.252270619126433</v>
      </c>
      <c r="J477" s="42">
        <f>'System Assumptions'!$E$30+'System Assumptions'!$E$28-'Data Model Calculations'!I477</f>
        <v>64.501329380873571</v>
      </c>
      <c r="K477" s="45">
        <f t="shared" si="79"/>
        <v>53.765600772218896</v>
      </c>
      <c r="L477" s="46">
        <f t="shared" si="80"/>
        <v>728502778573783.38</v>
      </c>
      <c r="M477" s="47">
        <f>D477/1000*('System Assumptions'!$F$20*1000000)</f>
        <v>276691425000.00018</v>
      </c>
      <c r="N477" s="48"/>
      <c r="O477" s="49">
        <f>(F477/1000)*('System Assumptions'!$F$21*1000000)</f>
        <v>6427291623373.3125</v>
      </c>
      <c r="P477" s="49">
        <f t="shared" si="84"/>
        <v>-6734258895251.25</v>
      </c>
      <c r="Q477" s="48">
        <f t="shared" si="81"/>
        <v>728472502726905.5</v>
      </c>
      <c r="R477" s="53">
        <f t="shared" si="82"/>
        <v>53.763366327623551</v>
      </c>
      <c r="S477" s="52">
        <v>35</v>
      </c>
    </row>
    <row r="478" spans="1:19">
      <c r="A478" s="3">
        <f t="shared" si="77"/>
        <v>40</v>
      </c>
      <c r="B478" s="3">
        <f t="shared" si="85"/>
        <v>476</v>
      </c>
      <c r="C478" s="40">
        <f t="shared" si="78"/>
        <v>13549607334.625124</v>
      </c>
      <c r="D478" s="41">
        <f>'System Assumptions'!$E$11/12</f>
        <v>75242280</v>
      </c>
      <c r="E478" s="41">
        <f>-'System Assumptions'!$E$10/12</f>
        <v>-133627000</v>
      </c>
      <c r="F478" s="41">
        <f>IF(I477&lt;'System Assumptions'!$E$29,'Hydrological Data Model'!$E$33/12,'Hydrological Data Model'!$E$33/12)</f>
        <v>183636903.52495179</v>
      </c>
      <c r="G478" s="42">
        <f>IF(I477&lt;'System Assumptions'!$E$29,0,-(MIN('Hydrological Data Model'!$E$34,'Hydrological Data Model'!$E$33-'System Assumptions'!$E$12))/12)</f>
        <v>-125252183.52495177</v>
      </c>
      <c r="H478" s="42">
        <f t="shared" si="83"/>
        <v>13549607334.625124</v>
      </c>
      <c r="I478" s="106">
        <f>H478/'System Assumptions'!$F$15</f>
        <v>15.252270619126433</v>
      </c>
      <c r="J478" s="42">
        <f>'System Assumptions'!$E$30+'System Assumptions'!$E$28-'Data Model Calculations'!I478</f>
        <v>64.501329380873571</v>
      </c>
      <c r="K478" s="45">
        <f t="shared" si="79"/>
        <v>53.763366327623551</v>
      </c>
      <c r="L478" s="46">
        <f t="shared" si="80"/>
        <v>728472502726905.5</v>
      </c>
      <c r="M478" s="47">
        <f>D478/1000*('System Assumptions'!$F$20*1000000)</f>
        <v>276691425000.00018</v>
      </c>
      <c r="N478" s="48"/>
      <c r="O478" s="49">
        <f>(F478/1000)*('System Assumptions'!$F$21*1000000)</f>
        <v>6427291623373.3125</v>
      </c>
      <c r="P478" s="49">
        <f t="shared" si="84"/>
        <v>-6733979026186.7168</v>
      </c>
      <c r="Q478" s="48">
        <f t="shared" si="81"/>
        <v>728442506749092</v>
      </c>
      <c r="R478" s="53">
        <f t="shared" si="82"/>
        <v>53.761152538170265</v>
      </c>
      <c r="S478" s="52">
        <v>35</v>
      </c>
    </row>
    <row r="479" spans="1:19">
      <c r="A479" s="3">
        <f t="shared" si="77"/>
        <v>40</v>
      </c>
      <c r="B479" s="3">
        <f t="shared" si="85"/>
        <v>477</v>
      </c>
      <c r="C479" s="40">
        <f t="shared" si="78"/>
        <v>13549607334.625124</v>
      </c>
      <c r="D479" s="41">
        <f>'System Assumptions'!$E$11/12</f>
        <v>75242280</v>
      </c>
      <c r="E479" s="41">
        <f>-'System Assumptions'!$E$10/12</f>
        <v>-133627000</v>
      </c>
      <c r="F479" s="41">
        <f>IF(I478&lt;'System Assumptions'!$E$29,'Hydrological Data Model'!$E$33/12,'Hydrological Data Model'!$E$33/12)</f>
        <v>183636903.52495179</v>
      </c>
      <c r="G479" s="42">
        <f>IF(I478&lt;'System Assumptions'!$E$29,0,-(MIN('Hydrological Data Model'!$E$34,'Hydrological Data Model'!$E$33-'System Assumptions'!$E$12))/12)</f>
        <v>-125252183.52495177</v>
      </c>
      <c r="H479" s="42">
        <f t="shared" si="83"/>
        <v>13549607334.625124</v>
      </c>
      <c r="I479" s="106">
        <f>H479/'System Assumptions'!$F$15</f>
        <v>15.252270619126433</v>
      </c>
      <c r="J479" s="42">
        <f>'System Assumptions'!$E$30+'System Assumptions'!$E$28-'Data Model Calculations'!I479</f>
        <v>64.501329380873571</v>
      </c>
      <c r="K479" s="45">
        <f t="shared" si="79"/>
        <v>53.761152538170265</v>
      </c>
      <c r="L479" s="46">
        <f t="shared" si="80"/>
        <v>728442506749092</v>
      </c>
      <c r="M479" s="47">
        <f>D479/1000*('System Assumptions'!$F$20*1000000)</f>
        <v>276691425000.00018</v>
      </c>
      <c r="N479" s="48"/>
      <c r="O479" s="49">
        <f>(F479/1000)*('System Assumptions'!$F$21*1000000)</f>
        <v>6427291623373.3125</v>
      </c>
      <c r="P479" s="49">
        <f t="shared" si="84"/>
        <v>-6733701744223.8281</v>
      </c>
      <c r="Q479" s="48">
        <f t="shared" si="81"/>
        <v>728412788053241.38</v>
      </c>
      <c r="R479" s="53">
        <f t="shared" si="82"/>
        <v>53.758959212923514</v>
      </c>
      <c r="S479" s="52">
        <v>35</v>
      </c>
    </row>
    <row r="480" spans="1:19">
      <c r="A480" s="3">
        <f t="shared" si="77"/>
        <v>40</v>
      </c>
      <c r="B480" s="3">
        <f t="shared" si="85"/>
        <v>478</v>
      </c>
      <c r="C480" s="40">
        <f t="shared" si="78"/>
        <v>13549607334.625124</v>
      </c>
      <c r="D480" s="41">
        <f>'System Assumptions'!$E$11/12</f>
        <v>75242280</v>
      </c>
      <c r="E480" s="41">
        <f>-'System Assumptions'!$E$10/12</f>
        <v>-133627000</v>
      </c>
      <c r="F480" s="41">
        <f>IF(I479&lt;'System Assumptions'!$E$29,'Hydrological Data Model'!$E$33/12,'Hydrological Data Model'!$E$33/12)</f>
        <v>183636903.52495179</v>
      </c>
      <c r="G480" s="42">
        <f>IF(I479&lt;'System Assumptions'!$E$29,0,-(MIN('Hydrological Data Model'!$E$34,'Hydrological Data Model'!$E$33-'System Assumptions'!$E$12))/12)</f>
        <v>-125252183.52495177</v>
      </c>
      <c r="H480" s="42">
        <f t="shared" si="83"/>
        <v>13549607334.625124</v>
      </c>
      <c r="I480" s="106">
        <f>H480/'System Assumptions'!$F$15</f>
        <v>15.252270619126433</v>
      </c>
      <c r="J480" s="42">
        <f>'System Assumptions'!$E$30+'System Assumptions'!$E$28-'Data Model Calculations'!I480</f>
        <v>64.501329380873571</v>
      </c>
      <c r="K480" s="45">
        <f t="shared" si="79"/>
        <v>53.758959212923514</v>
      </c>
      <c r="L480" s="46">
        <f t="shared" si="80"/>
        <v>728412788053241.38</v>
      </c>
      <c r="M480" s="47">
        <f>D480/1000*('System Assumptions'!$F$20*1000000)</f>
        <v>276691425000.00018</v>
      </c>
      <c r="N480" s="48"/>
      <c r="O480" s="49">
        <f>(F480/1000)*('System Assumptions'!$F$21*1000000)</f>
        <v>6427291623373.3125</v>
      </c>
      <c r="P480" s="49">
        <f t="shared" si="84"/>
        <v>-6733427025447.4932</v>
      </c>
      <c r="Q480" s="48">
        <f t="shared" si="81"/>
        <v>728383344076167.25</v>
      </c>
      <c r="R480" s="53">
        <f t="shared" si="82"/>
        <v>53.756786162712771</v>
      </c>
      <c r="S480" s="52">
        <v>35</v>
      </c>
    </row>
    <row r="481" spans="1:19">
      <c r="A481" s="3">
        <f t="shared" si="77"/>
        <v>40</v>
      </c>
      <c r="B481" s="3">
        <f t="shared" si="85"/>
        <v>479</v>
      </c>
      <c r="C481" s="40">
        <f t="shared" si="78"/>
        <v>13549607334.625124</v>
      </c>
      <c r="D481" s="41">
        <f>'System Assumptions'!$E$11/12</f>
        <v>75242280</v>
      </c>
      <c r="E481" s="41">
        <f>-'System Assumptions'!$E$10/12</f>
        <v>-133627000</v>
      </c>
      <c r="F481" s="41">
        <f>IF(I480&lt;'System Assumptions'!$E$29,'Hydrological Data Model'!$E$33/12,'Hydrological Data Model'!$E$33/12)</f>
        <v>183636903.52495179</v>
      </c>
      <c r="G481" s="42">
        <f>IF(I480&lt;'System Assumptions'!$E$29,0,-(MIN('Hydrological Data Model'!$E$34,'Hydrological Data Model'!$E$33-'System Assumptions'!$E$12))/12)</f>
        <v>-125252183.52495177</v>
      </c>
      <c r="H481" s="42">
        <f t="shared" si="83"/>
        <v>13549607334.625124</v>
      </c>
      <c r="I481" s="106">
        <f>H481/'System Assumptions'!$F$15</f>
        <v>15.252270619126433</v>
      </c>
      <c r="J481" s="42">
        <f>'System Assumptions'!$E$30+'System Assumptions'!$E$28-'Data Model Calculations'!I481</f>
        <v>64.501329380873571</v>
      </c>
      <c r="K481" s="45">
        <f t="shared" si="79"/>
        <v>53.756786162712771</v>
      </c>
      <c r="L481" s="46">
        <f t="shared" si="80"/>
        <v>728383344076167.25</v>
      </c>
      <c r="M481" s="47">
        <f>D481/1000*('System Assumptions'!$F$20*1000000)</f>
        <v>276691425000.00018</v>
      </c>
      <c r="N481" s="48"/>
      <c r="O481" s="49">
        <f>(F481/1000)*('System Assumptions'!$F$21*1000000)</f>
        <v>6427291623373.3125</v>
      </c>
      <c r="P481" s="49">
        <f t="shared" si="84"/>
        <v>-6733154846163.6885</v>
      </c>
      <c r="Q481" s="48">
        <f t="shared" si="81"/>
        <v>728354172278376.75</v>
      </c>
      <c r="R481" s="53">
        <f t="shared" si="82"/>
        <v>53.754633200116132</v>
      </c>
      <c r="S481" s="52">
        <v>35</v>
      </c>
    </row>
    <row r="482" spans="1:19">
      <c r="A482" s="3">
        <f t="shared" si="77"/>
        <v>40</v>
      </c>
      <c r="B482" s="3">
        <f t="shared" si="85"/>
        <v>480</v>
      </c>
      <c r="C482" s="40">
        <f t="shared" si="78"/>
        <v>13549607334.625124</v>
      </c>
      <c r="D482" s="41">
        <f>'System Assumptions'!$E$11/12</f>
        <v>75242280</v>
      </c>
      <c r="E482" s="41">
        <f>-'System Assumptions'!$E$10/12</f>
        <v>-133627000</v>
      </c>
      <c r="F482" s="41">
        <f>IF(I481&lt;'System Assumptions'!$E$29,'Hydrological Data Model'!$E$33/12,'Hydrological Data Model'!$E$33/12)</f>
        <v>183636903.52495179</v>
      </c>
      <c r="G482" s="42">
        <f>IF(I481&lt;'System Assumptions'!$E$29,0,-(MIN('Hydrological Data Model'!$E$34,'Hydrological Data Model'!$E$33-'System Assumptions'!$E$12))/12)</f>
        <v>-125252183.52495177</v>
      </c>
      <c r="H482" s="42">
        <f t="shared" si="83"/>
        <v>13549607334.625124</v>
      </c>
      <c r="I482" s="106">
        <f>H482/'System Assumptions'!$F$15</f>
        <v>15.252270619126433</v>
      </c>
      <c r="J482" s="42">
        <f>'System Assumptions'!$E$30+'System Assumptions'!$E$28-'Data Model Calculations'!I482</f>
        <v>64.501329380873571</v>
      </c>
      <c r="K482" s="45">
        <f t="shared" si="79"/>
        <v>53.754633200116132</v>
      </c>
      <c r="L482" s="46">
        <f t="shared" si="80"/>
        <v>728354172278376.75</v>
      </c>
      <c r="M482" s="47">
        <f>D482/1000*('System Assumptions'!$F$20*1000000)</f>
        <v>276691425000.00018</v>
      </c>
      <c r="N482" s="48"/>
      <c r="O482" s="49">
        <f>(F482/1000)*('System Assumptions'!$F$21*1000000)</f>
        <v>6427291623373.3125</v>
      </c>
      <c r="P482" s="49">
        <f t="shared" si="84"/>
        <v>-6732885182897.4111</v>
      </c>
      <c r="Q482" s="48">
        <f t="shared" si="81"/>
        <v>728325270143852.63</v>
      </c>
      <c r="R482" s="53">
        <f t="shared" si="82"/>
        <v>53.752500139444315</v>
      </c>
      <c r="S482" s="52">
        <v>35</v>
      </c>
    </row>
    <row r="483" spans="1:19">
      <c r="A483" s="3">
        <f t="shared" si="77"/>
        <v>41</v>
      </c>
      <c r="B483" s="3">
        <f t="shared" si="85"/>
        <v>481</v>
      </c>
      <c r="C483" s="40">
        <f t="shared" si="78"/>
        <v>13549607334.625124</v>
      </c>
      <c r="D483" s="41">
        <f>'System Assumptions'!$E$11/12</f>
        <v>75242280</v>
      </c>
      <c r="E483" s="41">
        <f>-'System Assumptions'!$E$10/12</f>
        <v>-133627000</v>
      </c>
      <c r="F483" s="41">
        <f>IF(I482&lt;'System Assumptions'!$E$29,'Hydrological Data Model'!$E$33/12,'Hydrological Data Model'!$E$33/12)</f>
        <v>183636903.52495179</v>
      </c>
      <c r="G483" s="42">
        <f>IF(I482&lt;'System Assumptions'!$E$29,0,-(MIN('Hydrological Data Model'!$E$34,'Hydrological Data Model'!$E$33-'System Assumptions'!$E$12))/12)</f>
        <v>-125252183.52495177</v>
      </c>
      <c r="H483" s="42">
        <f t="shared" si="83"/>
        <v>13549607334.625124</v>
      </c>
      <c r="I483" s="106">
        <f>H483/'System Assumptions'!$F$15</f>
        <v>15.252270619126433</v>
      </c>
      <c r="J483" s="42">
        <f>'System Assumptions'!$E$30+'System Assumptions'!$E$28-'Data Model Calculations'!I483</f>
        <v>64.501329380873571</v>
      </c>
      <c r="K483" s="45">
        <f t="shared" si="79"/>
        <v>53.752500139444315</v>
      </c>
      <c r="L483" s="46">
        <f t="shared" si="80"/>
        <v>728325270143852.63</v>
      </c>
      <c r="M483" s="47">
        <f>D483/1000*('System Assumptions'!$F$20*1000000)</f>
        <v>276691425000.00018</v>
      </c>
      <c r="N483" s="48"/>
      <c r="O483" s="49">
        <f>(F483/1000)*('System Assumptions'!$F$21*1000000)</f>
        <v>6427291623373.3125</v>
      </c>
      <c r="P483" s="49">
        <f t="shared" si="84"/>
        <v>-6732618012390.6748</v>
      </c>
      <c r="Q483" s="48">
        <f t="shared" si="81"/>
        <v>728296635179835.38</v>
      </c>
      <c r="R483" s="53">
        <f t="shared" si="82"/>
        <v>53.750386796724477</v>
      </c>
      <c r="S483" s="52">
        <v>35</v>
      </c>
    </row>
    <row r="484" spans="1:19">
      <c r="A484" s="3">
        <f t="shared" si="77"/>
        <v>41</v>
      </c>
      <c r="B484" s="3">
        <f t="shared" si="85"/>
        <v>482</v>
      </c>
      <c r="C484" s="40">
        <f t="shared" si="78"/>
        <v>13549607334.625124</v>
      </c>
      <c r="D484" s="41">
        <f>'System Assumptions'!$E$11/12</f>
        <v>75242280</v>
      </c>
      <c r="E484" s="41">
        <f>-'System Assumptions'!$E$10/12</f>
        <v>-133627000</v>
      </c>
      <c r="F484" s="41">
        <f>IF(I483&lt;'System Assumptions'!$E$29,'Hydrological Data Model'!$E$33/12,'Hydrological Data Model'!$E$33/12)</f>
        <v>183636903.52495179</v>
      </c>
      <c r="G484" s="42">
        <f>IF(I483&lt;'System Assumptions'!$E$29,0,-(MIN('Hydrological Data Model'!$E$34,'Hydrological Data Model'!$E$33-'System Assumptions'!$E$12))/12)</f>
        <v>-125252183.52495177</v>
      </c>
      <c r="H484" s="42">
        <f t="shared" si="83"/>
        <v>13549607334.625124</v>
      </c>
      <c r="I484" s="106">
        <f>H484/'System Assumptions'!$F$15</f>
        <v>15.252270619126433</v>
      </c>
      <c r="J484" s="42">
        <f>'System Assumptions'!$E$30+'System Assumptions'!$E$28-'Data Model Calculations'!I484</f>
        <v>64.501329380873571</v>
      </c>
      <c r="K484" s="45">
        <f t="shared" si="79"/>
        <v>53.750386796724477</v>
      </c>
      <c r="L484" s="46">
        <f t="shared" si="80"/>
        <v>728296635179835.38</v>
      </c>
      <c r="M484" s="47">
        <f>D484/1000*('System Assumptions'!$F$20*1000000)</f>
        <v>276691425000.00018</v>
      </c>
      <c r="N484" s="48"/>
      <c r="O484" s="49">
        <f>(F484/1000)*('System Assumptions'!$F$21*1000000)</f>
        <v>6427291623373.3125</v>
      </c>
      <c r="P484" s="49">
        <f t="shared" si="84"/>
        <v>-6732353311600.4775</v>
      </c>
      <c r="Q484" s="48">
        <f t="shared" si="81"/>
        <v>728268264916608.25</v>
      </c>
      <c r="R484" s="53">
        <f t="shared" si="82"/>
        <v>53.74829298968443</v>
      </c>
      <c r="S484" s="52">
        <v>35</v>
      </c>
    </row>
    <row r="485" spans="1:19">
      <c r="A485" s="3">
        <f t="shared" si="77"/>
        <v>41</v>
      </c>
      <c r="B485" s="3">
        <f t="shared" si="85"/>
        <v>483</v>
      </c>
      <c r="C485" s="40">
        <f t="shared" si="78"/>
        <v>13549607334.625124</v>
      </c>
      <c r="D485" s="41">
        <f>'System Assumptions'!$E$11/12</f>
        <v>75242280</v>
      </c>
      <c r="E485" s="41">
        <f>-'System Assumptions'!$E$10/12</f>
        <v>-133627000</v>
      </c>
      <c r="F485" s="41">
        <f>IF(I484&lt;'System Assumptions'!$E$29,'Hydrological Data Model'!$E$33/12,'Hydrological Data Model'!$E$33/12)</f>
        <v>183636903.52495179</v>
      </c>
      <c r="G485" s="42">
        <f>IF(I484&lt;'System Assumptions'!$E$29,0,-(MIN('Hydrological Data Model'!$E$34,'Hydrological Data Model'!$E$33-'System Assumptions'!$E$12))/12)</f>
        <v>-125252183.52495177</v>
      </c>
      <c r="H485" s="42">
        <f t="shared" si="83"/>
        <v>13549607334.625124</v>
      </c>
      <c r="I485" s="106">
        <f>H485/'System Assumptions'!$F$15</f>
        <v>15.252270619126433</v>
      </c>
      <c r="J485" s="42">
        <f>'System Assumptions'!$E$30+'System Assumptions'!$E$28-'Data Model Calculations'!I485</f>
        <v>64.501329380873571</v>
      </c>
      <c r="K485" s="45">
        <f t="shared" si="79"/>
        <v>53.74829298968443</v>
      </c>
      <c r="L485" s="46">
        <f t="shared" si="80"/>
        <v>728268264916608.25</v>
      </c>
      <c r="M485" s="47">
        <f>D485/1000*('System Assumptions'!$F$20*1000000)</f>
        <v>276691425000.00018</v>
      </c>
      <c r="N485" s="48"/>
      <c r="O485" s="49">
        <f>(F485/1000)*('System Assumptions'!$F$21*1000000)</f>
        <v>6427291623373.3125</v>
      </c>
      <c r="P485" s="49">
        <f t="shared" si="84"/>
        <v>-6732091057696.833</v>
      </c>
      <c r="Q485" s="48">
        <f t="shared" si="81"/>
        <v>728240156907284.63</v>
      </c>
      <c r="R485" s="53">
        <f t="shared" si="82"/>
        <v>53.746218537736894</v>
      </c>
      <c r="S485" s="52">
        <v>35</v>
      </c>
    </row>
    <row r="486" spans="1:19">
      <c r="A486" s="3">
        <f t="shared" si="77"/>
        <v>41</v>
      </c>
      <c r="B486" s="3">
        <f t="shared" si="85"/>
        <v>484</v>
      </c>
      <c r="C486" s="40">
        <f t="shared" si="78"/>
        <v>13549607334.625124</v>
      </c>
      <c r="D486" s="41">
        <f>'System Assumptions'!$E$11/12</f>
        <v>75242280</v>
      </c>
      <c r="E486" s="41">
        <f>-'System Assumptions'!$E$10/12</f>
        <v>-133627000</v>
      </c>
      <c r="F486" s="41">
        <f>IF(I485&lt;'System Assumptions'!$E$29,'Hydrological Data Model'!$E$33/12,'Hydrological Data Model'!$E$33/12)</f>
        <v>183636903.52495179</v>
      </c>
      <c r="G486" s="42">
        <f>IF(I485&lt;'System Assumptions'!$E$29,0,-(MIN('Hydrological Data Model'!$E$34,'Hydrological Data Model'!$E$33-'System Assumptions'!$E$12))/12)</f>
        <v>-125252183.52495177</v>
      </c>
      <c r="H486" s="42">
        <f t="shared" si="83"/>
        <v>13549607334.625124</v>
      </c>
      <c r="I486" s="106">
        <f>H486/'System Assumptions'!$F$15</f>
        <v>15.252270619126433</v>
      </c>
      <c r="J486" s="42">
        <f>'System Assumptions'!$E$30+'System Assumptions'!$E$28-'Data Model Calculations'!I486</f>
        <v>64.501329380873571</v>
      </c>
      <c r="K486" s="45">
        <f t="shared" si="79"/>
        <v>53.746218537736894</v>
      </c>
      <c r="L486" s="46">
        <f t="shared" si="80"/>
        <v>728240156907284.63</v>
      </c>
      <c r="M486" s="47">
        <f>D486/1000*('System Assumptions'!$F$20*1000000)</f>
        <v>276691425000.00018</v>
      </c>
      <c r="N486" s="48"/>
      <c r="O486" s="49">
        <f>(F486/1000)*('System Assumptions'!$F$21*1000000)</f>
        <v>6427291623373.3125</v>
      </c>
      <c r="P486" s="49">
        <f t="shared" si="84"/>
        <v>-6731831228060.7861</v>
      </c>
      <c r="Q486" s="48">
        <f t="shared" si="81"/>
        <v>728212308727597.25</v>
      </c>
      <c r="R486" s="53">
        <f t="shared" si="82"/>
        <v>53.744163261963983</v>
      </c>
      <c r="S486" s="52">
        <v>35</v>
      </c>
    </row>
    <row r="487" spans="1:19">
      <c r="A487" s="3">
        <f t="shared" si="77"/>
        <v>41</v>
      </c>
      <c r="B487" s="3">
        <f t="shared" si="85"/>
        <v>485</v>
      </c>
      <c r="C487" s="40">
        <f t="shared" si="78"/>
        <v>13549607334.625124</v>
      </c>
      <c r="D487" s="41">
        <f>'System Assumptions'!$E$11/12</f>
        <v>75242280</v>
      </c>
      <c r="E487" s="41">
        <f>-'System Assumptions'!$E$10/12</f>
        <v>-133627000</v>
      </c>
      <c r="F487" s="41">
        <f>IF(I486&lt;'System Assumptions'!$E$29,'Hydrological Data Model'!$E$33/12,'Hydrological Data Model'!$E$33/12)</f>
        <v>183636903.52495179</v>
      </c>
      <c r="G487" s="42">
        <f>IF(I486&lt;'System Assumptions'!$E$29,0,-(MIN('Hydrological Data Model'!$E$34,'Hydrological Data Model'!$E$33-'System Assumptions'!$E$12))/12)</f>
        <v>-125252183.52495177</v>
      </c>
      <c r="H487" s="42">
        <f t="shared" si="83"/>
        <v>13549607334.625124</v>
      </c>
      <c r="I487" s="106">
        <f>H487/'System Assumptions'!$F$15</f>
        <v>15.252270619126433</v>
      </c>
      <c r="J487" s="42">
        <f>'System Assumptions'!$E$30+'System Assumptions'!$E$28-'Data Model Calculations'!I487</f>
        <v>64.501329380873571</v>
      </c>
      <c r="K487" s="45">
        <f t="shared" si="79"/>
        <v>53.744163261963983</v>
      </c>
      <c r="L487" s="46">
        <f t="shared" si="80"/>
        <v>728212308727597.25</v>
      </c>
      <c r="M487" s="47">
        <f>D487/1000*('System Assumptions'!$F$20*1000000)</f>
        <v>276691425000.00018</v>
      </c>
      <c r="N487" s="48"/>
      <c r="O487" s="49">
        <f>(F487/1000)*('System Assumptions'!$F$21*1000000)</f>
        <v>6427291623373.3125</v>
      </c>
      <c r="P487" s="49">
        <f t="shared" si="84"/>
        <v>-6731573800282.4834</v>
      </c>
      <c r="Q487" s="48">
        <f t="shared" si="81"/>
        <v>728184717975688</v>
      </c>
      <c r="R487" s="53">
        <f t="shared" si="82"/>
        <v>53.742126985101635</v>
      </c>
      <c r="S487" s="52">
        <v>35</v>
      </c>
    </row>
    <row r="488" spans="1:19">
      <c r="A488" s="3">
        <f t="shared" si="77"/>
        <v>41</v>
      </c>
      <c r="B488" s="3">
        <f t="shared" si="85"/>
        <v>486</v>
      </c>
      <c r="C488" s="40">
        <f t="shared" si="78"/>
        <v>13549607334.625124</v>
      </c>
      <c r="D488" s="41">
        <f>'System Assumptions'!$E$11/12</f>
        <v>75242280</v>
      </c>
      <c r="E488" s="41">
        <f>-'System Assumptions'!$E$10/12</f>
        <v>-133627000</v>
      </c>
      <c r="F488" s="41">
        <f>IF(I487&lt;'System Assumptions'!$E$29,'Hydrological Data Model'!$E$33/12,'Hydrological Data Model'!$E$33/12)</f>
        <v>183636903.52495179</v>
      </c>
      <c r="G488" s="42">
        <f>IF(I487&lt;'System Assumptions'!$E$29,0,-(MIN('Hydrological Data Model'!$E$34,'Hydrological Data Model'!$E$33-'System Assumptions'!$E$12))/12)</f>
        <v>-125252183.52495177</v>
      </c>
      <c r="H488" s="42">
        <f t="shared" si="83"/>
        <v>13549607334.625124</v>
      </c>
      <c r="I488" s="106">
        <f>H488/'System Assumptions'!$F$15</f>
        <v>15.252270619126433</v>
      </c>
      <c r="J488" s="42">
        <f>'System Assumptions'!$E$30+'System Assumptions'!$E$28-'Data Model Calculations'!I488</f>
        <v>64.501329380873571</v>
      </c>
      <c r="K488" s="45">
        <f t="shared" si="79"/>
        <v>53.742126985101635</v>
      </c>
      <c r="L488" s="46">
        <f t="shared" si="80"/>
        <v>728184717975688</v>
      </c>
      <c r="M488" s="47">
        <f>D488/1000*('System Assumptions'!$F$20*1000000)</f>
        <v>276691425000.00018</v>
      </c>
      <c r="N488" s="48"/>
      <c r="O488" s="49">
        <f>(F488/1000)*('System Assumptions'!$F$21*1000000)</f>
        <v>6427291623373.3125</v>
      </c>
      <c r="P488" s="49">
        <f t="shared" si="84"/>
        <v>-6731318752159.2129</v>
      </c>
      <c r="Q488" s="48">
        <f t="shared" si="81"/>
        <v>728157382271902</v>
      </c>
      <c r="R488" s="53">
        <f t="shared" si="82"/>
        <v>53.740109531524503</v>
      </c>
      <c r="S488" s="52">
        <v>35</v>
      </c>
    </row>
    <row r="489" spans="1:19">
      <c r="A489" s="3">
        <f t="shared" si="77"/>
        <v>41</v>
      </c>
      <c r="B489" s="3">
        <f t="shared" si="85"/>
        <v>487</v>
      </c>
      <c r="C489" s="40">
        <f t="shared" si="78"/>
        <v>13549607334.625124</v>
      </c>
      <c r="D489" s="41">
        <f>'System Assumptions'!$E$11/12</f>
        <v>75242280</v>
      </c>
      <c r="E489" s="41">
        <f>-'System Assumptions'!$E$10/12</f>
        <v>-133627000</v>
      </c>
      <c r="F489" s="41">
        <f>IF(I488&lt;'System Assumptions'!$E$29,'Hydrological Data Model'!$E$33/12,'Hydrological Data Model'!$E$33/12)</f>
        <v>183636903.52495179</v>
      </c>
      <c r="G489" s="42">
        <f>IF(I488&lt;'System Assumptions'!$E$29,0,-(MIN('Hydrological Data Model'!$E$34,'Hydrological Data Model'!$E$33-'System Assumptions'!$E$12))/12)</f>
        <v>-125252183.52495177</v>
      </c>
      <c r="H489" s="42">
        <f t="shared" si="83"/>
        <v>13549607334.625124</v>
      </c>
      <c r="I489" s="106">
        <f>H489/'System Assumptions'!$F$15</f>
        <v>15.252270619126433</v>
      </c>
      <c r="J489" s="42">
        <f>'System Assumptions'!$E$30+'System Assumptions'!$E$28-'Data Model Calculations'!I489</f>
        <v>64.501329380873571</v>
      </c>
      <c r="K489" s="45">
        <f t="shared" si="79"/>
        <v>53.740109531524503</v>
      </c>
      <c r="L489" s="46">
        <f t="shared" si="80"/>
        <v>728157382271902</v>
      </c>
      <c r="M489" s="47">
        <f>D489/1000*('System Assumptions'!$F$20*1000000)</f>
        <v>276691425000.00018</v>
      </c>
      <c r="N489" s="48"/>
      <c r="O489" s="49">
        <f>(F489/1000)*('System Assumptions'!$F$21*1000000)</f>
        <v>6427291623373.3125</v>
      </c>
      <c r="P489" s="49">
        <f t="shared" si="84"/>
        <v>-6731066061693.5166</v>
      </c>
      <c r="Q489" s="48">
        <f t="shared" si="81"/>
        <v>728130299258581.75</v>
      </c>
      <c r="R489" s="53">
        <f t="shared" si="82"/>
        <v>53.738110727230669</v>
      </c>
      <c r="S489" s="52">
        <v>35</v>
      </c>
    </row>
    <row r="490" spans="1:19">
      <c r="A490" s="3">
        <f t="shared" si="77"/>
        <v>41</v>
      </c>
      <c r="B490" s="3">
        <f t="shared" si="85"/>
        <v>488</v>
      </c>
      <c r="C490" s="40">
        <f t="shared" si="78"/>
        <v>13549607334.625124</v>
      </c>
      <c r="D490" s="41">
        <f>'System Assumptions'!$E$11/12</f>
        <v>75242280</v>
      </c>
      <c r="E490" s="41">
        <f>-'System Assumptions'!$E$10/12</f>
        <v>-133627000</v>
      </c>
      <c r="F490" s="41">
        <f>IF(I489&lt;'System Assumptions'!$E$29,'Hydrological Data Model'!$E$33/12,'Hydrological Data Model'!$E$33/12)</f>
        <v>183636903.52495179</v>
      </c>
      <c r="G490" s="42">
        <f>IF(I489&lt;'System Assumptions'!$E$29,0,-(MIN('Hydrological Data Model'!$E$34,'Hydrological Data Model'!$E$33-'System Assumptions'!$E$12))/12)</f>
        <v>-125252183.52495177</v>
      </c>
      <c r="H490" s="42">
        <f t="shared" si="83"/>
        <v>13549607334.625124</v>
      </c>
      <c r="I490" s="106">
        <f>H490/'System Assumptions'!$F$15</f>
        <v>15.252270619126433</v>
      </c>
      <c r="J490" s="42">
        <f>'System Assumptions'!$E$30+'System Assumptions'!$E$28-'Data Model Calculations'!I490</f>
        <v>64.501329380873571</v>
      </c>
      <c r="K490" s="45">
        <f t="shared" si="79"/>
        <v>53.738110727230669</v>
      </c>
      <c r="L490" s="46">
        <f t="shared" si="80"/>
        <v>728130299258581.75</v>
      </c>
      <c r="M490" s="47">
        <f>D490/1000*('System Assumptions'!$F$20*1000000)</f>
        <v>276691425000.00018</v>
      </c>
      <c r="N490" s="48"/>
      <c r="O490" s="49">
        <f>(F490/1000)*('System Assumptions'!$F$21*1000000)</f>
        <v>6427291623373.3125</v>
      </c>
      <c r="P490" s="49">
        <f t="shared" si="84"/>
        <v>-6730815707091.2754</v>
      </c>
      <c r="Q490" s="48">
        <f t="shared" si="81"/>
        <v>728103466599863.75</v>
      </c>
      <c r="R490" s="53">
        <f t="shared" si="82"/>
        <v>53.736130399826692</v>
      </c>
      <c r="S490" s="52">
        <v>35</v>
      </c>
    </row>
    <row r="491" spans="1:19">
      <c r="A491" s="3">
        <f t="shared" ref="A491:A554" si="86">IF(MOD(B491,12)=1,A490+1,A490)</f>
        <v>41</v>
      </c>
      <c r="B491" s="3">
        <f t="shared" si="85"/>
        <v>489</v>
      </c>
      <c r="C491" s="40">
        <f t="shared" ref="C491:C554" si="87">H490</f>
        <v>13549607334.625124</v>
      </c>
      <c r="D491" s="41">
        <f>'System Assumptions'!$E$11/12</f>
        <v>75242280</v>
      </c>
      <c r="E491" s="41">
        <f>-'System Assumptions'!$E$10/12</f>
        <v>-133627000</v>
      </c>
      <c r="F491" s="41">
        <f>IF(I490&lt;'System Assumptions'!$E$29,'Hydrological Data Model'!$E$33/12,'Hydrological Data Model'!$E$33/12)</f>
        <v>183636903.52495179</v>
      </c>
      <c r="G491" s="42">
        <f>IF(I490&lt;'System Assumptions'!$E$29,0,-(MIN('Hydrological Data Model'!$E$34,'Hydrological Data Model'!$E$33-'System Assumptions'!$E$12))/12)</f>
        <v>-125252183.52495177</v>
      </c>
      <c r="H491" s="42">
        <f t="shared" si="83"/>
        <v>13549607334.625124</v>
      </c>
      <c r="I491" s="106">
        <f>H491/'System Assumptions'!$F$15</f>
        <v>15.252270619126433</v>
      </c>
      <c r="J491" s="42">
        <f>'System Assumptions'!$E$30+'System Assumptions'!$E$28-'Data Model Calculations'!I491</f>
        <v>64.501329380873571</v>
      </c>
      <c r="K491" s="45">
        <f t="shared" ref="K491:K554" si="88">R490</f>
        <v>53.736130399826692</v>
      </c>
      <c r="L491" s="46">
        <f t="shared" ref="L491:L554" si="89">Q490</f>
        <v>728103466599863.75</v>
      </c>
      <c r="M491" s="47">
        <f>D491/1000*('System Assumptions'!$F$20*1000000)</f>
        <v>276691425000.00018</v>
      </c>
      <c r="N491" s="48"/>
      <c r="O491" s="49">
        <f>(F491/1000)*('System Assumptions'!$F$21*1000000)</f>
        <v>6427291623373.3125</v>
      </c>
      <c r="P491" s="49">
        <f t="shared" si="84"/>
        <v>-6730567666759.833</v>
      </c>
      <c r="Q491" s="48">
        <f t="shared" ref="Q491:Q554" si="90">SUM(L491:P491)</f>
        <v>728076881981477.13</v>
      </c>
      <c r="R491" s="53">
        <f t="shared" ref="R491:R554" si="91">(Q491*1000)/(H491*1000000)</f>
        <v>53.734168378512706</v>
      </c>
      <c r="S491" s="52">
        <v>35</v>
      </c>
    </row>
    <row r="492" spans="1:19">
      <c r="A492" s="3">
        <f t="shared" si="86"/>
        <v>41</v>
      </c>
      <c r="B492" s="3">
        <f t="shared" si="85"/>
        <v>490</v>
      </c>
      <c r="C492" s="40">
        <f t="shared" si="87"/>
        <v>13549607334.625124</v>
      </c>
      <c r="D492" s="41">
        <f>'System Assumptions'!$E$11/12</f>
        <v>75242280</v>
      </c>
      <c r="E492" s="41">
        <f>-'System Assumptions'!$E$10/12</f>
        <v>-133627000</v>
      </c>
      <c r="F492" s="41">
        <f>IF(I491&lt;'System Assumptions'!$E$29,'Hydrological Data Model'!$E$33/12,'Hydrological Data Model'!$E$33/12)</f>
        <v>183636903.52495179</v>
      </c>
      <c r="G492" s="42">
        <f>IF(I491&lt;'System Assumptions'!$E$29,0,-(MIN('Hydrological Data Model'!$E$34,'Hydrological Data Model'!$E$33-'System Assumptions'!$E$12))/12)</f>
        <v>-125252183.52495177</v>
      </c>
      <c r="H492" s="42">
        <f t="shared" si="83"/>
        <v>13549607334.625124</v>
      </c>
      <c r="I492" s="106">
        <f>H492/'System Assumptions'!$F$15</f>
        <v>15.252270619126433</v>
      </c>
      <c r="J492" s="42">
        <f>'System Assumptions'!$E$30+'System Assumptions'!$E$28-'Data Model Calculations'!I492</f>
        <v>64.501329380873571</v>
      </c>
      <c r="K492" s="45">
        <f t="shared" si="88"/>
        <v>53.734168378512706</v>
      </c>
      <c r="L492" s="46">
        <f t="shared" si="89"/>
        <v>728076881981477.13</v>
      </c>
      <c r="M492" s="47">
        <f>D492/1000*('System Assumptions'!$F$20*1000000)</f>
        <v>276691425000.00018</v>
      </c>
      <c r="N492" s="48"/>
      <c r="O492" s="49">
        <f>(F492/1000)*('System Assumptions'!$F$21*1000000)</f>
        <v>6427291623373.3125</v>
      </c>
      <c r="P492" s="49">
        <f t="shared" si="84"/>
        <v>-6730321919306.1328</v>
      </c>
      <c r="Q492" s="48">
        <f t="shared" si="90"/>
        <v>728050543110544.38</v>
      </c>
      <c r="R492" s="53">
        <f t="shared" si="91"/>
        <v>53.732224494067772</v>
      </c>
      <c r="S492" s="52">
        <v>35</v>
      </c>
    </row>
    <row r="493" spans="1:19">
      <c r="A493" s="3">
        <f t="shared" si="86"/>
        <v>41</v>
      </c>
      <c r="B493" s="3">
        <f t="shared" si="85"/>
        <v>491</v>
      </c>
      <c r="C493" s="40">
        <f t="shared" si="87"/>
        <v>13549607334.625124</v>
      </c>
      <c r="D493" s="41">
        <f>'System Assumptions'!$E$11/12</f>
        <v>75242280</v>
      </c>
      <c r="E493" s="41">
        <f>-'System Assumptions'!$E$10/12</f>
        <v>-133627000</v>
      </c>
      <c r="F493" s="41">
        <f>IF(I492&lt;'System Assumptions'!$E$29,'Hydrological Data Model'!$E$33/12,'Hydrological Data Model'!$E$33/12)</f>
        <v>183636903.52495179</v>
      </c>
      <c r="G493" s="42">
        <f>IF(I492&lt;'System Assumptions'!$E$29,0,-(MIN('Hydrological Data Model'!$E$34,'Hydrological Data Model'!$E$33-'System Assumptions'!$E$12))/12)</f>
        <v>-125252183.52495177</v>
      </c>
      <c r="H493" s="42">
        <f t="shared" si="83"/>
        <v>13549607334.625124</v>
      </c>
      <c r="I493" s="106">
        <f>H493/'System Assumptions'!$F$15</f>
        <v>15.252270619126433</v>
      </c>
      <c r="J493" s="42">
        <f>'System Assumptions'!$E$30+'System Assumptions'!$E$28-'Data Model Calculations'!I493</f>
        <v>64.501329380873571</v>
      </c>
      <c r="K493" s="45">
        <f t="shared" si="88"/>
        <v>53.732224494067772</v>
      </c>
      <c r="L493" s="46">
        <f t="shared" si="89"/>
        <v>728050543110544.38</v>
      </c>
      <c r="M493" s="47">
        <f>D493/1000*('System Assumptions'!$F$20*1000000)</f>
        <v>276691425000.00018</v>
      </c>
      <c r="N493" s="48"/>
      <c r="O493" s="49">
        <f>(F493/1000)*('System Assumptions'!$F$21*1000000)</f>
        <v>6427291623373.3125</v>
      </c>
      <c r="P493" s="49">
        <f t="shared" si="84"/>
        <v>-6730078443534.8848</v>
      </c>
      <c r="Q493" s="48">
        <f t="shared" si="90"/>
        <v>728024447715382.88</v>
      </c>
      <c r="R493" s="53">
        <f t="shared" si="91"/>
        <v>53.730298578835168</v>
      </c>
      <c r="S493" s="52">
        <v>35</v>
      </c>
    </row>
    <row r="494" spans="1:19">
      <c r="A494" s="3">
        <f t="shared" si="86"/>
        <v>41</v>
      </c>
      <c r="B494" s="3">
        <f t="shared" si="85"/>
        <v>492</v>
      </c>
      <c r="C494" s="40">
        <f t="shared" si="87"/>
        <v>13549607334.625124</v>
      </c>
      <c r="D494" s="41">
        <f>'System Assumptions'!$E$11/12</f>
        <v>75242280</v>
      </c>
      <c r="E494" s="41">
        <f>-'System Assumptions'!$E$10/12</f>
        <v>-133627000</v>
      </c>
      <c r="F494" s="41">
        <f>IF(I493&lt;'System Assumptions'!$E$29,'Hydrological Data Model'!$E$33/12,'Hydrological Data Model'!$E$33/12)</f>
        <v>183636903.52495179</v>
      </c>
      <c r="G494" s="42">
        <f>IF(I493&lt;'System Assumptions'!$E$29,0,-(MIN('Hydrological Data Model'!$E$34,'Hydrological Data Model'!$E$33-'System Assumptions'!$E$12))/12)</f>
        <v>-125252183.52495177</v>
      </c>
      <c r="H494" s="42">
        <f t="shared" si="83"/>
        <v>13549607334.625124</v>
      </c>
      <c r="I494" s="106">
        <f>H494/'System Assumptions'!$F$15</f>
        <v>15.252270619126433</v>
      </c>
      <c r="J494" s="42">
        <f>'System Assumptions'!$E$30+'System Assumptions'!$E$28-'Data Model Calculations'!I494</f>
        <v>64.501329380873571</v>
      </c>
      <c r="K494" s="45">
        <f t="shared" si="88"/>
        <v>53.730298578835168</v>
      </c>
      <c r="L494" s="46">
        <f t="shared" si="89"/>
        <v>728024447715382.88</v>
      </c>
      <c r="M494" s="47">
        <f>D494/1000*('System Assumptions'!$F$20*1000000)</f>
        <v>276691425000.00018</v>
      </c>
      <c r="N494" s="48"/>
      <c r="O494" s="49">
        <f>(F494/1000)*('System Assumptions'!$F$21*1000000)</f>
        <v>6427291623373.3125</v>
      </c>
      <c r="P494" s="49">
        <f t="shared" si="84"/>
        <v>-6729837218446.7168</v>
      </c>
      <c r="Q494" s="48">
        <f t="shared" si="90"/>
        <v>727998593545309.5</v>
      </c>
      <c r="R494" s="53">
        <f t="shared" si="91"/>
        <v>53.728390466708007</v>
      </c>
      <c r="S494" s="52">
        <v>35</v>
      </c>
    </row>
    <row r="495" spans="1:19">
      <c r="A495" s="3">
        <f t="shared" si="86"/>
        <v>42</v>
      </c>
      <c r="B495" s="3">
        <f t="shared" si="85"/>
        <v>493</v>
      </c>
      <c r="C495" s="40">
        <f t="shared" si="87"/>
        <v>13549607334.625124</v>
      </c>
      <c r="D495" s="41">
        <f>'System Assumptions'!$E$11/12</f>
        <v>75242280</v>
      </c>
      <c r="E495" s="41">
        <f>-'System Assumptions'!$E$10/12</f>
        <v>-133627000</v>
      </c>
      <c r="F495" s="41">
        <f>IF(I494&lt;'System Assumptions'!$E$29,'Hydrological Data Model'!$E$33/12,'Hydrological Data Model'!$E$33/12)</f>
        <v>183636903.52495179</v>
      </c>
      <c r="G495" s="42">
        <f>IF(I494&lt;'System Assumptions'!$E$29,0,-(MIN('Hydrological Data Model'!$E$34,'Hydrological Data Model'!$E$33-'System Assumptions'!$E$12))/12)</f>
        <v>-125252183.52495177</v>
      </c>
      <c r="H495" s="42">
        <f t="shared" si="83"/>
        <v>13549607334.625124</v>
      </c>
      <c r="I495" s="106">
        <f>H495/'System Assumptions'!$F$15</f>
        <v>15.252270619126433</v>
      </c>
      <c r="J495" s="42">
        <f>'System Assumptions'!$E$30+'System Assumptions'!$E$28-'Data Model Calculations'!I495</f>
        <v>64.501329380873571</v>
      </c>
      <c r="K495" s="45">
        <f t="shared" si="88"/>
        <v>53.728390466708007</v>
      </c>
      <c r="L495" s="46">
        <f t="shared" si="89"/>
        <v>727998593545309.5</v>
      </c>
      <c r="M495" s="47">
        <f>D495/1000*('System Assumptions'!$F$20*1000000)</f>
        <v>276691425000.00018</v>
      </c>
      <c r="N495" s="48"/>
      <c r="O495" s="49">
        <f>(F495/1000)*('System Assumptions'!$F$21*1000000)</f>
        <v>6427291623373.3125</v>
      </c>
      <c r="P495" s="49">
        <f t="shared" si="84"/>
        <v>-6729598223236.3799</v>
      </c>
      <c r="Q495" s="48">
        <f t="shared" si="90"/>
        <v>727972978370446.38</v>
      </c>
      <c r="R495" s="53">
        <f t="shared" si="91"/>
        <v>53.726499993114899</v>
      </c>
      <c r="S495" s="52">
        <v>35</v>
      </c>
    </row>
    <row r="496" spans="1:19">
      <c r="A496" s="3">
        <f t="shared" si="86"/>
        <v>42</v>
      </c>
      <c r="B496" s="3">
        <f t="shared" si="85"/>
        <v>494</v>
      </c>
      <c r="C496" s="40">
        <f t="shared" si="87"/>
        <v>13549607334.625124</v>
      </c>
      <c r="D496" s="41">
        <f>'System Assumptions'!$E$11/12</f>
        <v>75242280</v>
      </c>
      <c r="E496" s="41">
        <f>-'System Assumptions'!$E$10/12</f>
        <v>-133627000</v>
      </c>
      <c r="F496" s="41">
        <f>IF(I495&lt;'System Assumptions'!$E$29,'Hydrological Data Model'!$E$33/12,'Hydrological Data Model'!$E$33/12)</f>
        <v>183636903.52495179</v>
      </c>
      <c r="G496" s="42">
        <f>IF(I495&lt;'System Assumptions'!$E$29,0,-(MIN('Hydrological Data Model'!$E$34,'Hydrological Data Model'!$E$33-'System Assumptions'!$E$12))/12)</f>
        <v>-125252183.52495177</v>
      </c>
      <c r="H496" s="42">
        <f t="shared" si="83"/>
        <v>13549607334.625124</v>
      </c>
      <c r="I496" s="106">
        <f>H496/'System Assumptions'!$F$15</f>
        <v>15.252270619126433</v>
      </c>
      <c r="J496" s="42">
        <f>'System Assumptions'!$E$30+'System Assumptions'!$E$28-'Data Model Calculations'!I496</f>
        <v>64.501329380873571</v>
      </c>
      <c r="K496" s="45">
        <f t="shared" si="88"/>
        <v>53.726499993114899</v>
      </c>
      <c r="L496" s="46">
        <f t="shared" si="89"/>
        <v>727972978370446.38</v>
      </c>
      <c r="M496" s="47">
        <f>D496/1000*('System Assumptions'!$F$20*1000000)</f>
        <v>276691425000.00018</v>
      </c>
      <c r="N496" s="48"/>
      <c r="O496" s="49">
        <f>(F496/1000)*('System Assumptions'!$F$21*1000000)</f>
        <v>6427291623373.3125</v>
      </c>
      <c r="P496" s="49">
        <f t="shared" si="84"/>
        <v>-6729361437290.9473</v>
      </c>
      <c r="Q496" s="48">
        <f t="shared" si="90"/>
        <v>727947599981528.75</v>
      </c>
      <c r="R496" s="53">
        <f t="shared" si="91"/>
        <v>53.724626995005742</v>
      </c>
      <c r="S496" s="52">
        <v>35</v>
      </c>
    </row>
    <row r="497" spans="1:19">
      <c r="A497" s="3">
        <f t="shared" si="86"/>
        <v>42</v>
      </c>
      <c r="B497" s="3">
        <f t="shared" si="85"/>
        <v>495</v>
      </c>
      <c r="C497" s="40">
        <f t="shared" si="87"/>
        <v>13549607334.625124</v>
      </c>
      <c r="D497" s="41">
        <f>'System Assumptions'!$E$11/12</f>
        <v>75242280</v>
      </c>
      <c r="E497" s="41">
        <f>-'System Assumptions'!$E$10/12</f>
        <v>-133627000</v>
      </c>
      <c r="F497" s="41">
        <f>IF(I496&lt;'System Assumptions'!$E$29,'Hydrological Data Model'!$E$33/12,'Hydrological Data Model'!$E$33/12)</f>
        <v>183636903.52495179</v>
      </c>
      <c r="G497" s="42">
        <f>IF(I496&lt;'System Assumptions'!$E$29,0,-(MIN('Hydrological Data Model'!$E$34,'Hydrological Data Model'!$E$33-'System Assumptions'!$E$12))/12)</f>
        <v>-125252183.52495177</v>
      </c>
      <c r="H497" s="42">
        <f t="shared" si="83"/>
        <v>13549607334.625124</v>
      </c>
      <c r="I497" s="106">
        <f>H497/'System Assumptions'!$F$15</f>
        <v>15.252270619126433</v>
      </c>
      <c r="J497" s="42">
        <f>'System Assumptions'!$E$30+'System Assumptions'!$E$28-'Data Model Calculations'!I497</f>
        <v>64.501329380873571</v>
      </c>
      <c r="K497" s="45">
        <f t="shared" si="88"/>
        <v>53.724626995005742</v>
      </c>
      <c r="L497" s="46">
        <f t="shared" si="89"/>
        <v>727947599981528.75</v>
      </c>
      <c r="M497" s="47">
        <f>D497/1000*('System Assumptions'!$F$20*1000000)</f>
        <v>276691425000.00018</v>
      </c>
      <c r="N497" s="48"/>
      <c r="O497" s="49">
        <f>(F497/1000)*('System Assumptions'!$F$21*1000000)</f>
        <v>6427291623373.3125</v>
      </c>
      <c r="P497" s="49">
        <f t="shared" si="84"/>
        <v>-6729126840188.0371</v>
      </c>
      <c r="Q497" s="48">
        <f t="shared" si="90"/>
        <v>727922456189714</v>
      </c>
      <c r="R497" s="53">
        <f t="shared" si="91"/>
        <v>53.722771310837651</v>
      </c>
      <c r="S497" s="52">
        <v>35</v>
      </c>
    </row>
    <row r="498" spans="1:19">
      <c r="A498" s="3">
        <f t="shared" si="86"/>
        <v>42</v>
      </c>
      <c r="B498" s="3">
        <f t="shared" si="85"/>
        <v>496</v>
      </c>
      <c r="C498" s="40">
        <f t="shared" si="87"/>
        <v>13549607334.625124</v>
      </c>
      <c r="D498" s="41">
        <f>'System Assumptions'!$E$11/12</f>
        <v>75242280</v>
      </c>
      <c r="E498" s="41">
        <f>-'System Assumptions'!$E$10/12</f>
        <v>-133627000</v>
      </c>
      <c r="F498" s="41">
        <f>IF(I497&lt;'System Assumptions'!$E$29,'Hydrological Data Model'!$E$33/12,'Hydrological Data Model'!$E$33/12)</f>
        <v>183636903.52495179</v>
      </c>
      <c r="G498" s="42">
        <f>IF(I497&lt;'System Assumptions'!$E$29,0,-(MIN('Hydrological Data Model'!$E$34,'Hydrological Data Model'!$E$33-'System Assumptions'!$E$12))/12)</f>
        <v>-125252183.52495177</v>
      </c>
      <c r="H498" s="42">
        <f t="shared" si="83"/>
        <v>13549607334.625124</v>
      </c>
      <c r="I498" s="106">
        <f>H498/'System Assumptions'!$F$15</f>
        <v>15.252270619126433</v>
      </c>
      <c r="J498" s="42">
        <f>'System Assumptions'!$E$30+'System Assumptions'!$E$28-'Data Model Calculations'!I498</f>
        <v>64.501329380873571</v>
      </c>
      <c r="K498" s="45">
        <f t="shared" si="88"/>
        <v>53.722771310837651</v>
      </c>
      <c r="L498" s="46">
        <f t="shared" si="89"/>
        <v>727922456189714</v>
      </c>
      <c r="M498" s="47">
        <f>D498/1000*('System Assumptions'!$F$20*1000000)</f>
        <v>276691425000.00018</v>
      </c>
      <c r="N498" s="48"/>
      <c r="O498" s="49">
        <f>(F498/1000)*('System Assumptions'!$F$21*1000000)</f>
        <v>6427291623373.3125</v>
      </c>
      <c r="P498" s="49">
        <f t="shared" si="84"/>
        <v>-6728894411694.0508</v>
      </c>
      <c r="Q498" s="48">
        <f t="shared" si="90"/>
        <v>727897544826393.25</v>
      </c>
      <c r="R498" s="53">
        <f t="shared" si="91"/>
        <v>53.72093278056105</v>
      </c>
      <c r="S498" s="52">
        <v>35</v>
      </c>
    </row>
    <row r="499" spans="1:19">
      <c r="A499" s="3">
        <f t="shared" si="86"/>
        <v>42</v>
      </c>
      <c r="B499" s="3">
        <f t="shared" si="85"/>
        <v>497</v>
      </c>
      <c r="C499" s="40">
        <f t="shared" si="87"/>
        <v>13549607334.625124</v>
      </c>
      <c r="D499" s="41">
        <f>'System Assumptions'!$E$11/12</f>
        <v>75242280</v>
      </c>
      <c r="E499" s="41">
        <f>-'System Assumptions'!$E$10/12</f>
        <v>-133627000</v>
      </c>
      <c r="F499" s="41">
        <f>IF(I498&lt;'System Assumptions'!$E$29,'Hydrological Data Model'!$E$33/12,'Hydrological Data Model'!$E$33/12)</f>
        <v>183636903.52495179</v>
      </c>
      <c r="G499" s="42">
        <f>IF(I498&lt;'System Assumptions'!$E$29,0,-(MIN('Hydrological Data Model'!$E$34,'Hydrological Data Model'!$E$33-'System Assumptions'!$E$12))/12)</f>
        <v>-125252183.52495177</v>
      </c>
      <c r="H499" s="42">
        <f t="shared" si="83"/>
        <v>13549607334.625124</v>
      </c>
      <c r="I499" s="106">
        <f>H499/'System Assumptions'!$F$15</f>
        <v>15.252270619126433</v>
      </c>
      <c r="J499" s="42">
        <f>'System Assumptions'!$E$30+'System Assumptions'!$E$28-'Data Model Calculations'!I499</f>
        <v>64.501329380873571</v>
      </c>
      <c r="K499" s="45">
        <f t="shared" si="88"/>
        <v>53.72093278056105</v>
      </c>
      <c r="L499" s="46">
        <f t="shared" si="89"/>
        <v>727897544826393.25</v>
      </c>
      <c r="M499" s="47">
        <f>D499/1000*('System Assumptions'!$F$20*1000000)</f>
        <v>276691425000.00018</v>
      </c>
      <c r="N499" s="48"/>
      <c r="O499" s="49">
        <f>(F499/1000)*('System Assumptions'!$F$21*1000000)</f>
        <v>6427291623373.3125</v>
      </c>
      <c r="P499" s="49">
        <f t="shared" si="84"/>
        <v>-6728664131762.4297</v>
      </c>
      <c r="Q499" s="48">
        <f t="shared" si="90"/>
        <v>727872863743004.13</v>
      </c>
      <c r="R499" s="53">
        <f t="shared" si="91"/>
        <v>53.719111245605859</v>
      </c>
      <c r="S499" s="52">
        <v>35</v>
      </c>
    </row>
    <row r="500" spans="1:19">
      <c r="A500" s="3">
        <f t="shared" si="86"/>
        <v>42</v>
      </c>
      <c r="B500" s="3">
        <f t="shared" si="85"/>
        <v>498</v>
      </c>
      <c r="C500" s="40">
        <f t="shared" si="87"/>
        <v>13549607334.625124</v>
      </c>
      <c r="D500" s="41">
        <f>'System Assumptions'!$E$11/12</f>
        <v>75242280</v>
      </c>
      <c r="E500" s="41">
        <f>-'System Assumptions'!$E$10/12</f>
        <v>-133627000</v>
      </c>
      <c r="F500" s="41">
        <f>IF(I499&lt;'System Assumptions'!$E$29,'Hydrological Data Model'!$E$33/12,'Hydrological Data Model'!$E$33/12)</f>
        <v>183636903.52495179</v>
      </c>
      <c r="G500" s="42">
        <f>IF(I499&lt;'System Assumptions'!$E$29,0,-(MIN('Hydrological Data Model'!$E$34,'Hydrological Data Model'!$E$33-'System Assumptions'!$E$12))/12)</f>
        <v>-125252183.52495177</v>
      </c>
      <c r="H500" s="42">
        <f t="shared" si="83"/>
        <v>13549607334.625124</v>
      </c>
      <c r="I500" s="106">
        <f>H500/'System Assumptions'!$F$15</f>
        <v>15.252270619126433</v>
      </c>
      <c r="J500" s="42">
        <f>'System Assumptions'!$E$30+'System Assumptions'!$E$28-'Data Model Calculations'!I500</f>
        <v>64.501329380873571</v>
      </c>
      <c r="K500" s="45">
        <f t="shared" si="88"/>
        <v>53.719111245605859</v>
      </c>
      <c r="L500" s="46">
        <f t="shared" si="89"/>
        <v>727872863743004.13</v>
      </c>
      <c r="M500" s="47">
        <f>D500/1000*('System Assumptions'!$F$20*1000000)</f>
        <v>276691425000.00018</v>
      </c>
      <c r="N500" s="48"/>
      <c r="O500" s="49">
        <f>(F500/1000)*('System Assumptions'!$F$21*1000000)</f>
        <v>6427291623373.3125</v>
      </c>
      <c r="P500" s="49">
        <f t="shared" si="84"/>
        <v>-6728435980531.9248</v>
      </c>
      <c r="Q500" s="48">
        <f t="shared" si="90"/>
        <v>727848410810845.63</v>
      </c>
      <c r="R500" s="53">
        <f t="shared" si="91"/>
        <v>53.717306548867818</v>
      </c>
      <c r="S500" s="52">
        <v>35</v>
      </c>
    </row>
    <row r="501" spans="1:19">
      <c r="A501" s="3">
        <f t="shared" si="86"/>
        <v>42</v>
      </c>
      <c r="B501" s="3">
        <f t="shared" si="85"/>
        <v>499</v>
      </c>
      <c r="C501" s="40">
        <f t="shared" si="87"/>
        <v>13549607334.625124</v>
      </c>
      <c r="D501" s="41">
        <f>'System Assumptions'!$E$11/12</f>
        <v>75242280</v>
      </c>
      <c r="E501" s="41">
        <f>-'System Assumptions'!$E$10/12</f>
        <v>-133627000</v>
      </c>
      <c r="F501" s="41">
        <f>IF(I500&lt;'System Assumptions'!$E$29,'Hydrological Data Model'!$E$33/12,'Hydrological Data Model'!$E$33/12)</f>
        <v>183636903.52495179</v>
      </c>
      <c r="G501" s="42">
        <f>IF(I500&lt;'System Assumptions'!$E$29,0,-(MIN('Hydrological Data Model'!$E$34,'Hydrological Data Model'!$E$33-'System Assumptions'!$E$12))/12)</f>
        <v>-125252183.52495177</v>
      </c>
      <c r="H501" s="42">
        <f t="shared" si="83"/>
        <v>13549607334.625124</v>
      </c>
      <c r="I501" s="106">
        <f>H501/'System Assumptions'!$F$15</f>
        <v>15.252270619126433</v>
      </c>
      <c r="J501" s="42">
        <f>'System Assumptions'!$E$30+'System Assumptions'!$E$28-'Data Model Calculations'!I501</f>
        <v>64.501329380873571</v>
      </c>
      <c r="K501" s="45">
        <f t="shared" si="88"/>
        <v>53.717306548867818</v>
      </c>
      <c r="L501" s="46">
        <f t="shared" si="89"/>
        <v>727848410810845.63</v>
      </c>
      <c r="M501" s="47">
        <f>D501/1000*('System Assumptions'!$F$20*1000000)</f>
        <v>276691425000.00018</v>
      </c>
      <c r="N501" s="48"/>
      <c r="O501" s="49">
        <f>(F501/1000)*('System Assumptions'!$F$21*1000000)</f>
        <v>6427291623373.3125</v>
      </c>
      <c r="P501" s="49">
        <f t="shared" si="84"/>
        <v>-6728209938324.8848</v>
      </c>
      <c r="Q501" s="48">
        <f t="shared" si="90"/>
        <v>727824183920894.13</v>
      </c>
      <c r="R501" s="53">
        <f t="shared" si="91"/>
        <v>53.715518534694922</v>
      </c>
      <c r="S501" s="52">
        <v>35</v>
      </c>
    </row>
    <row r="502" spans="1:19">
      <c r="A502" s="3">
        <f t="shared" si="86"/>
        <v>42</v>
      </c>
      <c r="B502" s="3">
        <f t="shared" si="85"/>
        <v>500</v>
      </c>
      <c r="C502" s="40">
        <f t="shared" si="87"/>
        <v>13549607334.625124</v>
      </c>
      <c r="D502" s="41">
        <f>'System Assumptions'!$E$11/12</f>
        <v>75242280</v>
      </c>
      <c r="E502" s="41">
        <f>-'System Assumptions'!$E$10/12</f>
        <v>-133627000</v>
      </c>
      <c r="F502" s="41">
        <f>IF(I501&lt;'System Assumptions'!$E$29,'Hydrological Data Model'!$E$33/12,'Hydrological Data Model'!$E$33/12)</f>
        <v>183636903.52495179</v>
      </c>
      <c r="G502" s="42">
        <f>IF(I501&lt;'System Assumptions'!$E$29,0,-(MIN('Hydrological Data Model'!$E$34,'Hydrological Data Model'!$E$33-'System Assumptions'!$E$12))/12)</f>
        <v>-125252183.52495177</v>
      </c>
      <c r="H502" s="42">
        <f t="shared" si="83"/>
        <v>13549607334.625124</v>
      </c>
      <c r="I502" s="106">
        <f>H502/'System Assumptions'!$F$15</f>
        <v>15.252270619126433</v>
      </c>
      <c r="J502" s="42">
        <f>'System Assumptions'!$E$30+'System Assumptions'!$E$28-'Data Model Calculations'!I502</f>
        <v>64.501329380873571</v>
      </c>
      <c r="K502" s="45">
        <f t="shared" si="88"/>
        <v>53.715518534694922</v>
      </c>
      <c r="L502" s="46">
        <f t="shared" si="89"/>
        <v>727824183920894.13</v>
      </c>
      <c r="M502" s="47">
        <f>D502/1000*('System Assumptions'!$F$20*1000000)</f>
        <v>276691425000.00018</v>
      </c>
      <c r="N502" s="48"/>
      <c r="O502" s="49">
        <f>(F502/1000)*('System Assumptions'!$F$21*1000000)</f>
        <v>6427291623373.3125</v>
      </c>
      <c r="P502" s="49">
        <f t="shared" si="84"/>
        <v>-6727985985645.5566</v>
      </c>
      <c r="Q502" s="48">
        <f t="shared" si="90"/>
        <v>727800180983622</v>
      </c>
      <c r="R502" s="53">
        <f t="shared" si="91"/>
        <v>53.713747048874019</v>
      </c>
      <c r="S502" s="52">
        <v>35</v>
      </c>
    </row>
    <row r="503" spans="1:19">
      <c r="A503" s="3">
        <f t="shared" si="86"/>
        <v>42</v>
      </c>
      <c r="B503" s="3">
        <f t="shared" si="85"/>
        <v>501</v>
      </c>
      <c r="C503" s="40">
        <f t="shared" si="87"/>
        <v>13549607334.625124</v>
      </c>
      <c r="D503" s="41">
        <f>'System Assumptions'!$E$11/12</f>
        <v>75242280</v>
      </c>
      <c r="E503" s="41">
        <f>-'System Assumptions'!$E$10/12</f>
        <v>-133627000</v>
      </c>
      <c r="F503" s="41">
        <f>IF(I502&lt;'System Assumptions'!$E$29,'Hydrological Data Model'!$E$33/12,'Hydrological Data Model'!$E$33/12)</f>
        <v>183636903.52495179</v>
      </c>
      <c r="G503" s="42">
        <f>IF(I502&lt;'System Assumptions'!$E$29,0,-(MIN('Hydrological Data Model'!$E$34,'Hydrological Data Model'!$E$33-'System Assumptions'!$E$12))/12)</f>
        <v>-125252183.52495177</v>
      </c>
      <c r="H503" s="42">
        <f t="shared" si="83"/>
        <v>13549607334.625124</v>
      </c>
      <c r="I503" s="106">
        <f>H503/'System Assumptions'!$F$15</f>
        <v>15.252270619126433</v>
      </c>
      <c r="J503" s="42">
        <f>'System Assumptions'!$E$30+'System Assumptions'!$E$28-'Data Model Calculations'!I503</f>
        <v>64.501329380873571</v>
      </c>
      <c r="K503" s="45">
        <f t="shared" si="88"/>
        <v>53.713747048874019</v>
      </c>
      <c r="L503" s="46">
        <f t="shared" si="89"/>
        <v>727800180983622</v>
      </c>
      <c r="M503" s="47">
        <f>D503/1000*('System Assumptions'!$F$20*1000000)</f>
        <v>276691425000.00018</v>
      </c>
      <c r="N503" s="48"/>
      <c r="O503" s="49">
        <f>(F503/1000)*('System Assumptions'!$F$21*1000000)</f>
        <v>6427291623373.3125</v>
      </c>
      <c r="P503" s="49">
        <f t="shared" si="84"/>
        <v>-6727764103178.4053</v>
      </c>
      <c r="Q503" s="48">
        <f t="shared" si="90"/>
        <v>727776399928816.88</v>
      </c>
      <c r="R503" s="53">
        <f t="shared" si="91"/>
        <v>53.71199193861748</v>
      </c>
      <c r="S503" s="52">
        <v>35</v>
      </c>
    </row>
    <row r="504" spans="1:19">
      <c r="A504" s="3">
        <f t="shared" si="86"/>
        <v>42</v>
      </c>
      <c r="B504" s="3">
        <f t="shared" si="85"/>
        <v>502</v>
      </c>
      <c r="C504" s="40">
        <f t="shared" si="87"/>
        <v>13549607334.625124</v>
      </c>
      <c r="D504" s="41">
        <f>'System Assumptions'!$E$11/12</f>
        <v>75242280</v>
      </c>
      <c r="E504" s="41">
        <f>-'System Assumptions'!$E$10/12</f>
        <v>-133627000</v>
      </c>
      <c r="F504" s="41">
        <f>IF(I503&lt;'System Assumptions'!$E$29,'Hydrological Data Model'!$E$33/12,'Hydrological Data Model'!$E$33/12)</f>
        <v>183636903.52495179</v>
      </c>
      <c r="G504" s="42">
        <f>IF(I503&lt;'System Assumptions'!$E$29,0,-(MIN('Hydrological Data Model'!$E$34,'Hydrological Data Model'!$E$33-'System Assumptions'!$E$12))/12)</f>
        <v>-125252183.52495177</v>
      </c>
      <c r="H504" s="42">
        <f t="shared" si="83"/>
        <v>13549607334.625124</v>
      </c>
      <c r="I504" s="106">
        <f>H504/'System Assumptions'!$F$15</f>
        <v>15.252270619126433</v>
      </c>
      <c r="J504" s="42">
        <f>'System Assumptions'!$E$30+'System Assumptions'!$E$28-'Data Model Calculations'!I504</f>
        <v>64.501329380873571</v>
      </c>
      <c r="K504" s="45">
        <f t="shared" si="88"/>
        <v>53.71199193861748</v>
      </c>
      <c r="L504" s="46">
        <f t="shared" si="89"/>
        <v>727776399928816.88</v>
      </c>
      <c r="M504" s="47">
        <f>D504/1000*('System Assumptions'!$F$20*1000000)</f>
        <v>276691425000.00018</v>
      </c>
      <c r="N504" s="48"/>
      <c r="O504" s="49">
        <f>(F504/1000)*('System Assumptions'!$F$21*1000000)</f>
        <v>6427291623373.3125</v>
      </c>
      <c r="P504" s="49">
        <f t="shared" si="84"/>
        <v>-6727544271786.4463</v>
      </c>
      <c r="Q504" s="48">
        <f t="shared" si="90"/>
        <v>727752838705403.75</v>
      </c>
      <c r="R504" s="53">
        <f t="shared" si="91"/>
        <v>53.710253052550065</v>
      </c>
      <c r="S504" s="52">
        <v>35</v>
      </c>
    </row>
    <row r="505" spans="1:19">
      <c r="A505" s="3">
        <f t="shared" si="86"/>
        <v>42</v>
      </c>
      <c r="B505" s="3">
        <f t="shared" si="85"/>
        <v>503</v>
      </c>
      <c r="C505" s="40">
        <f t="shared" si="87"/>
        <v>13549607334.625124</v>
      </c>
      <c r="D505" s="41">
        <f>'System Assumptions'!$E$11/12</f>
        <v>75242280</v>
      </c>
      <c r="E505" s="41">
        <f>-'System Assumptions'!$E$10/12</f>
        <v>-133627000</v>
      </c>
      <c r="F505" s="41">
        <f>IF(I504&lt;'System Assumptions'!$E$29,'Hydrological Data Model'!$E$33/12,'Hydrological Data Model'!$E$33/12)</f>
        <v>183636903.52495179</v>
      </c>
      <c r="G505" s="42">
        <f>IF(I504&lt;'System Assumptions'!$E$29,0,-(MIN('Hydrological Data Model'!$E$34,'Hydrological Data Model'!$E$33-'System Assumptions'!$E$12))/12)</f>
        <v>-125252183.52495177</v>
      </c>
      <c r="H505" s="42">
        <f t="shared" si="83"/>
        <v>13549607334.625124</v>
      </c>
      <c r="I505" s="106">
        <f>H505/'System Assumptions'!$F$15</f>
        <v>15.252270619126433</v>
      </c>
      <c r="J505" s="42">
        <f>'System Assumptions'!$E$30+'System Assumptions'!$E$28-'Data Model Calculations'!I505</f>
        <v>64.501329380873571</v>
      </c>
      <c r="K505" s="45">
        <f t="shared" si="88"/>
        <v>53.710253052550065</v>
      </c>
      <c r="L505" s="46">
        <f t="shared" si="89"/>
        <v>727752838705403.75</v>
      </c>
      <c r="M505" s="47">
        <f>D505/1000*('System Assumptions'!$F$20*1000000)</f>
        <v>276691425000.00018</v>
      </c>
      <c r="N505" s="48"/>
      <c r="O505" s="49">
        <f>(F505/1000)*('System Assumptions'!$F$21*1000000)</f>
        <v>6427291623373.3125</v>
      </c>
      <c r="P505" s="49">
        <f t="shared" si="84"/>
        <v>-6727326472509.6016</v>
      </c>
      <c r="Q505" s="48">
        <f t="shared" si="90"/>
        <v>727729495281267.38</v>
      </c>
      <c r="R505" s="53">
        <f t="shared" si="91"/>
        <v>53.708530240695815</v>
      </c>
      <c r="S505" s="52">
        <v>35</v>
      </c>
    </row>
    <row r="506" spans="1:19">
      <c r="A506" s="3">
        <f t="shared" si="86"/>
        <v>42</v>
      </c>
      <c r="B506" s="3">
        <f t="shared" si="85"/>
        <v>504</v>
      </c>
      <c r="C506" s="40">
        <f t="shared" si="87"/>
        <v>13549607334.625124</v>
      </c>
      <c r="D506" s="41">
        <f>'System Assumptions'!$E$11/12</f>
        <v>75242280</v>
      </c>
      <c r="E506" s="41">
        <f>-'System Assumptions'!$E$10/12</f>
        <v>-133627000</v>
      </c>
      <c r="F506" s="41">
        <f>IF(I505&lt;'System Assumptions'!$E$29,'Hydrological Data Model'!$E$33/12,'Hydrological Data Model'!$E$33/12)</f>
        <v>183636903.52495179</v>
      </c>
      <c r="G506" s="42">
        <f>IF(I505&lt;'System Assumptions'!$E$29,0,-(MIN('Hydrological Data Model'!$E$34,'Hydrological Data Model'!$E$33-'System Assumptions'!$E$12))/12)</f>
        <v>-125252183.52495177</v>
      </c>
      <c r="H506" s="42">
        <f t="shared" si="83"/>
        <v>13549607334.625124</v>
      </c>
      <c r="I506" s="106">
        <f>H506/'System Assumptions'!$F$15</f>
        <v>15.252270619126433</v>
      </c>
      <c r="J506" s="42">
        <f>'System Assumptions'!$E$30+'System Assumptions'!$E$28-'Data Model Calculations'!I506</f>
        <v>64.501329380873571</v>
      </c>
      <c r="K506" s="45">
        <f t="shared" si="88"/>
        <v>53.708530240695815</v>
      </c>
      <c r="L506" s="46">
        <f t="shared" si="89"/>
        <v>727729495281267.38</v>
      </c>
      <c r="M506" s="47">
        <f>D506/1000*('System Assumptions'!$F$20*1000000)</f>
        <v>276691425000.00018</v>
      </c>
      <c r="N506" s="48"/>
      <c r="O506" s="49">
        <f>(F506/1000)*('System Assumptions'!$F$21*1000000)</f>
        <v>6427291623373.3125</v>
      </c>
      <c r="P506" s="49">
        <f t="shared" si="84"/>
        <v>-6727110686563.0537</v>
      </c>
      <c r="Q506" s="48">
        <f t="shared" si="90"/>
        <v>727706367643077.75</v>
      </c>
      <c r="R506" s="53">
        <f t="shared" si="91"/>
        <v>53.706823354465214</v>
      </c>
      <c r="S506" s="52">
        <v>35</v>
      </c>
    </row>
    <row r="507" spans="1:19">
      <c r="A507" s="3">
        <f t="shared" si="86"/>
        <v>43</v>
      </c>
      <c r="B507" s="3">
        <f t="shared" si="85"/>
        <v>505</v>
      </c>
      <c r="C507" s="40">
        <f t="shared" si="87"/>
        <v>13549607334.625124</v>
      </c>
      <c r="D507" s="41">
        <f>'System Assumptions'!$E$11/12</f>
        <v>75242280</v>
      </c>
      <c r="E507" s="41">
        <f>-'System Assumptions'!$E$10/12</f>
        <v>-133627000</v>
      </c>
      <c r="F507" s="41">
        <f>IF(I506&lt;'System Assumptions'!$E$29,'Hydrological Data Model'!$E$33/12,'Hydrological Data Model'!$E$33/12)</f>
        <v>183636903.52495179</v>
      </c>
      <c r="G507" s="42">
        <f>IF(I506&lt;'System Assumptions'!$E$29,0,-(MIN('Hydrological Data Model'!$E$34,'Hydrological Data Model'!$E$33-'System Assumptions'!$E$12))/12)</f>
        <v>-125252183.52495177</v>
      </c>
      <c r="H507" s="42">
        <f t="shared" si="83"/>
        <v>13549607334.625124</v>
      </c>
      <c r="I507" s="106">
        <f>H507/'System Assumptions'!$F$15</f>
        <v>15.252270619126433</v>
      </c>
      <c r="J507" s="42">
        <f>'System Assumptions'!$E$30+'System Assumptions'!$E$28-'Data Model Calculations'!I507</f>
        <v>64.501329380873571</v>
      </c>
      <c r="K507" s="45">
        <f t="shared" si="88"/>
        <v>53.706823354465214</v>
      </c>
      <c r="L507" s="46">
        <f t="shared" si="89"/>
        <v>727706367643077.75</v>
      </c>
      <c r="M507" s="47">
        <f>D507/1000*('System Assumptions'!$F$20*1000000)</f>
        <v>276691425000.00018</v>
      </c>
      <c r="N507" s="48"/>
      <c r="O507" s="49">
        <f>(F507/1000)*('System Assumptions'!$F$21*1000000)</f>
        <v>6427291623373.3125</v>
      </c>
      <c r="P507" s="49">
        <f t="shared" si="84"/>
        <v>-6726896895335.6426</v>
      </c>
      <c r="Q507" s="48">
        <f t="shared" si="90"/>
        <v>727683453796115.38</v>
      </c>
      <c r="R507" s="53">
        <f t="shared" si="91"/>
        <v>53.705132246642194</v>
      </c>
      <c r="S507" s="52">
        <v>35</v>
      </c>
    </row>
    <row r="508" spans="1:19">
      <c r="A508" s="3">
        <f t="shared" si="86"/>
        <v>43</v>
      </c>
      <c r="B508" s="3">
        <f t="shared" si="85"/>
        <v>506</v>
      </c>
      <c r="C508" s="40">
        <f t="shared" si="87"/>
        <v>13549607334.625124</v>
      </c>
      <c r="D508" s="41">
        <f>'System Assumptions'!$E$11/12</f>
        <v>75242280</v>
      </c>
      <c r="E508" s="41">
        <f>-'System Assumptions'!$E$10/12</f>
        <v>-133627000</v>
      </c>
      <c r="F508" s="41">
        <f>IF(I507&lt;'System Assumptions'!$E$29,'Hydrological Data Model'!$E$33/12,'Hydrological Data Model'!$E$33/12)</f>
        <v>183636903.52495179</v>
      </c>
      <c r="G508" s="42">
        <f>IF(I507&lt;'System Assumptions'!$E$29,0,-(MIN('Hydrological Data Model'!$E$34,'Hydrological Data Model'!$E$33-'System Assumptions'!$E$12))/12)</f>
        <v>-125252183.52495177</v>
      </c>
      <c r="H508" s="42">
        <f t="shared" si="83"/>
        <v>13549607334.625124</v>
      </c>
      <c r="I508" s="106">
        <f>H508/'System Assumptions'!$F$15</f>
        <v>15.252270619126433</v>
      </c>
      <c r="J508" s="42">
        <f>'System Assumptions'!$E$30+'System Assumptions'!$E$28-'Data Model Calculations'!I508</f>
        <v>64.501329380873571</v>
      </c>
      <c r="K508" s="45">
        <f t="shared" si="88"/>
        <v>53.705132246642194</v>
      </c>
      <c r="L508" s="46">
        <f t="shared" si="89"/>
        <v>727683453796115.38</v>
      </c>
      <c r="M508" s="47">
        <f>D508/1000*('System Assumptions'!$F$20*1000000)</f>
        <v>276691425000.00018</v>
      </c>
      <c r="N508" s="48"/>
      <c r="O508" s="49">
        <f>(F508/1000)*('System Assumptions'!$F$21*1000000)</f>
        <v>6427291623373.3125</v>
      </c>
      <c r="P508" s="49">
        <f t="shared" si="84"/>
        <v>-6726685080388.2334</v>
      </c>
      <c r="Q508" s="48">
        <f t="shared" si="90"/>
        <v>727660751764100.5</v>
      </c>
      <c r="R508" s="53">
        <f t="shared" si="91"/>
        <v>53.703456771371641</v>
      </c>
      <c r="S508" s="52">
        <v>35</v>
      </c>
    </row>
    <row r="509" spans="1:19">
      <c r="A509" s="3">
        <f t="shared" si="86"/>
        <v>43</v>
      </c>
      <c r="B509" s="3">
        <f t="shared" si="85"/>
        <v>507</v>
      </c>
      <c r="C509" s="40">
        <f t="shared" si="87"/>
        <v>13549607334.625124</v>
      </c>
      <c r="D509" s="41">
        <f>'System Assumptions'!$E$11/12</f>
        <v>75242280</v>
      </c>
      <c r="E509" s="41">
        <f>-'System Assumptions'!$E$10/12</f>
        <v>-133627000</v>
      </c>
      <c r="F509" s="41">
        <f>IF(I508&lt;'System Assumptions'!$E$29,'Hydrological Data Model'!$E$33/12,'Hydrological Data Model'!$E$33/12)</f>
        <v>183636903.52495179</v>
      </c>
      <c r="G509" s="42">
        <f>IF(I508&lt;'System Assumptions'!$E$29,0,-(MIN('Hydrological Data Model'!$E$34,'Hydrological Data Model'!$E$33-'System Assumptions'!$E$12))/12)</f>
        <v>-125252183.52495177</v>
      </c>
      <c r="H509" s="42">
        <f t="shared" si="83"/>
        <v>13549607334.625124</v>
      </c>
      <c r="I509" s="106">
        <f>H509/'System Assumptions'!$F$15</f>
        <v>15.252270619126433</v>
      </c>
      <c r="J509" s="42">
        <f>'System Assumptions'!$E$30+'System Assumptions'!$E$28-'Data Model Calculations'!I509</f>
        <v>64.501329380873571</v>
      </c>
      <c r="K509" s="45">
        <f t="shared" si="88"/>
        <v>53.703456771371641</v>
      </c>
      <c r="L509" s="46">
        <f t="shared" si="89"/>
        <v>727660751764100.5</v>
      </c>
      <c r="M509" s="47">
        <f>D509/1000*('System Assumptions'!$F$20*1000000)</f>
        <v>276691425000.00018</v>
      </c>
      <c r="N509" s="48"/>
      <c r="O509" s="49">
        <f>(F509/1000)*('System Assumptions'!$F$21*1000000)</f>
        <v>6427291623373.3125</v>
      </c>
      <c r="P509" s="49">
        <f t="shared" si="84"/>
        <v>-6726475223452.1543</v>
      </c>
      <c r="Q509" s="48">
        <f t="shared" si="90"/>
        <v>727638259589021.63</v>
      </c>
      <c r="R509" s="53">
        <f t="shared" si="91"/>
        <v>53.701796784146666</v>
      </c>
      <c r="S509" s="52">
        <v>35</v>
      </c>
    </row>
    <row r="510" spans="1:19">
      <c r="A510" s="3">
        <f t="shared" si="86"/>
        <v>43</v>
      </c>
      <c r="B510" s="3">
        <f t="shared" si="85"/>
        <v>508</v>
      </c>
      <c r="C510" s="40">
        <f t="shared" si="87"/>
        <v>13549607334.625124</v>
      </c>
      <c r="D510" s="41">
        <f>'System Assumptions'!$E$11/12</f>
        <v>75242280</v>
      </c>
      <c r="E510" s="41">
        <f>-'System Assumptions'!$E$10/12</f>
        <v>-133627000</v>
      </c>
      <c r="F510" s="41">
        <f>IF(I509&lt;'System Assumptions'!$E$29,'Hydrological Data Model'!$E$33/12,'Hydrological Data Model'!$E$33/12)</f>
        <v>183636903.52495179</v>
      </c>
      <c r="G510" s="42">
        <f>IF(I509&lt;'System Assumptions'!$E$29,0,-(MIN('Hydrological Data Model'!$E$34,'Hydrological Data Model'!$E$33-'System Assumptions'!$E$12))/12)</f>
        <v>-125252183.52495177</v>
      </c>
      <c r="H510" s="42">
        <f t="shared" si="83"/>
        <v>13549607334.625124</v>
      </c>
      <c r="I510" s="106">
        <f>H510/'System Assumptions'!$F$15</f>
        <v>15.252270619126433</v>
      </c>
      <c r="J510" s="42">
        <f>'System Assumptions'!$E$30+'System Assumptions'!$E$28-'Data Model Calculations'!I510</f>
        <v>64.501329380873571</v>
      </c>
      <c r="K510" s="45">
        <f t="shared" si="88"/>
        <v>53.701796784146666</v>
      </c>
      <c r="L510" s="46">
        <f t="shared" si="89"/>
        <v>727638259589021.63</v>
      </c>
      <c r="M510" s="47">
        <f>D510/1000*('System Assumptions'!$F$20*1000000)</f>
        <v>276691425000.00018</v>
      </c>
      <c r="N510" s="48"/>
      <c r="O510" s="49">
        <f>(F510/1000)*('System Assumptions'!$F$21*1000000)</f>
        <v>6427291623373.3125</v>
      </c>
      <c r="P510" s="49">
        <f t="shared" si="84"/>
        <v>-6726267306427.6025</v>
      </c>
      <c r="Q510" s="48">
        <f t="shared" si="90"/>
        <v>727615975330967.38</v>
      </c>
      <c r="R510" s="53">
        <f t="shared" si="91"/>
        <v>53.700152141796245</v>
      </c>
      <c r="S510" s="52">
        <v>35</v>
      </c>
    </row>
    <row r="511" spans="1:19">
      <c r="A511" s="3">
        <f t="shared" si="86"/>
        <v>43</v>
      </c>
      <c r="B511" s="3">
        <f t="shared" si="85"/>
        <v>509</v>
      </c>
      <c r="C511" s="40">
        <f t="shared" si="87"/>
        <v>13549607334.625124</v>
      </c>
      <c r="D511" s="41">
        <f>'System Assumptions'!$E$11/12</f>
        <v>75242280</v>
      </c>
      <c r="E511" s="41">
        <f>-'System Assumptions'!$E$10/12</f>
        <v>-133627000</v>
      </c>
      <c r="F511" s="41">
        <f>IF(I510&lt;'System Assumptions'!$E$29,'Hydrological Data Model'!$E$33/12,'Hydrological Data Model'!$E$33/12)</f>
        <v>183636903.52495179</v>
      </c>
      <c r="G511" s="42">
        <f>IF(I510&lt;'System Assumptions'!$E$29,0,-(MIN('Hydrological Data Model'!$E$34,'Hydrological Data Model'!$E$33-'System Assumptions'!$E$12))/12)</f>
        <v>-125252183.52495177</v>
      </c>
      <c r="H511" s="42">
        <f t="shared" si="83"/>
        <v>13549607334.625124</v>
      </c>
      <c r="I511" s="106">
        <f>H511/'System Assumptions'!$F$15</f>
        <v>15.252270619126433</v>
      </c>
      <c r="J511" s="42">
        <f>'System Assumptions'!$E$30+'System Assumptions'!$E$28-'Data Model Calculations'!I511</f>
        <v>64.501329380873571</v>
      </c>
      <c r="K511" s="45">
        <f t="shared" si="88"/>
        <v>53.700152141796245</v>
      </c>
      <c r="L511" s="46">
        <f t="shared" si="89"/>
        <v>727615975330967.38</v>
      </c>
      <c r="M511" s="47">
        <f>D511/1000*('System Assumptions'!$F$20*1000000)</f>
        <v>276691425000.00018</v>
      </c>
      <c r="N511" s="48"/>
      <c r="O511" s="49">
        <f>(F511/1000)*('System Assumptions'!$F$21*1000000)</f>
        <v>6427291623373.3125</v>
      </c>
      <c r="P511" s="49">
        <f t="shared" si="84"/>
        <v>-6726061311382.0947</v>
      </c>
      <c r="Q511" s="48">
        <f t="shared" si="90"/>
        <v>727593897067958.63</v>
      </c>
      <c r="R511" s="53">
        <f t="shared" si="91"/>
        <v>53.698522702472758</v>
      </c>
      <c r="S511" s="52">
        <v>35</v>
      </c>
    </row>
    <row r="512" spans="1:19">
      <c r="A512" s="3">
        <f t="shared" si="86"/>
        <v>43</v>
      </c>
      <c r="B512" s="3">
        <f t="shared" si="85"/>
        <v>510</v>
      </c>
      <c r="C512" s="40">
        <f t="shared" si="87"/>
        <v>13549607334.625124</v>
      </c>
      <c r="D512" s="41">
        <f>'System Assumptions'!$E$11/12</f>
        <v>75242280</v>
      </c>
      <c r="E512" s="41">
        <f>-'System Assumptions'!$E$10/12</f>
        <v>-133627000</v>
      </c>
      <c r="F512" s="41">
        <f>IF(I511&lt;'System Assumptions'!$E$29,'Hydrological Data Model'!$E$33/12,'Hydrological Data Model'!$E$33/12)</f>
        <v>183636903.52495179</v>
      </c>
      <c r="G512" s="42">
        <f>IF(I511&lt;'System Assumptions'!$E$29,0,-(MIN('Hydrological Data Model'!$E$34,'Hydrological Data Model'!$E$33-'System Assumptions'!$E$12))/12)</f>
        <v>-125252183.52495177</v>
      </c>
      <c r="H512" s="42">
        <f t="shared" si="83"/>
        <v>13549607334.625124</v>
      </c>
      <c r="I512" s="106">
        <f>H512/'System Assumptions'!$F$15</f>
        <v>15.252270619126433</v>
      </c>
      <c r="J512" s="42">
        <f>'System Assumptions'!$E$30+'System Assumptions'!$E$28-'Data Model Calculations'!I512</f>
        <v>64.501329380873571</v>
      </c>
      <c r="K512" s="45">
        <f t="shared" si="88"/>
        <v>53.698522702472758</v>
      </c>
      <c r="L512" s="46">
        <f t="shared" si="89"/>
        <v>727593897067958.63</v>
      </c>
      <c r="M512" s="47">
        <f>D512/1000*('System Assumptions'!$F$20*1000000)</f>
        <v>276691425000.00018</v>
      </c>
      <c r="N512" s="48"/>
      <c r="O512" s="49">
        <f>(F512/1000)*('System Assumptions'!$F$21*1000000)</f>
        <v>6427291623373.3125</v>
      </c>
      <c r="P512" s="49">
        <f t="shared" si="84"/>
        <v>-6725857220548.9072</v>
      </c>
      <c r="Q512" s="48">
        <f t="shared" si="90"/>
        <v>727572022895783.13</v>
      </c>
      <c r="R512" s="53">
        <f t="shared" si="91"/>
        <v>53.696908325639889</v>
      </c>
      <c r="S512" s="52">
        <v>35</v>
      </c>
    </row>
    <row r="513" spans="1:19">
      <c r="A513" s="3">
        <f t="shared" si="86"/>
        <v>43</v>
      </c>
      <c r="B513" s="3">
        <f t="shared" si="85"/>
        <v>511</v>
      </c>
      <c r="C513" s="40">
        <f t="shared" si="87"/>
        <v>13549607334.625124</v>
      </c>
      <c r="D513" s="41">
        <f>'System Assumptions'!$E$11/12</f>
        <v>75242280</v>
      </c>
      <c r="E513" s="41">
        <f>-'System Assumptions'!$E$10/12</f>
        <v>-133627000</v>
      </c>
      <c r="F513" s="41">
        <f>IF(I512&lt;'System Assumptions'!$E$29,'Hydrological Data Model'!$E$33/12,'Hydrological Data Model'!$E$33/12)</f>
        <v>183636903.52495179</v>
      </c>
      <c r="G513" s="42">
        <f>IF(I512&lt;'System Assumptions'!$E$29,0,-(MIN('Hydrological Data Model'!$E$34,'Hydrological Data Model'!$E$33-'System Assumptions'!$E$12))/12)</f>
        <v>-125252183.52495177</v>
      </c>
      <c r="H513" s="42">
        <f t="shared" si="83"/>
        <v>13549607334.625124</v>
      </c>
      <c r="I513" s="106">
        <f>H513/'System Assumptions'!$F$15</f>
        <v>15.252270619126433</v>
      </c>
      <c r="J513" s="42">
        <f>'System Assumptions'!$E$30+'System Assumptions'!$E$28-'Data Model Calculations'!I513</f>
        <v>64.501329380873571</v>
      </c>
      <c r="K513" s="45">
        <f t="shared" si="88"/>
        <v>53.696908325639889</v>
      </c>
      <c r="L513" s="46">
        <f t="shared" si="89"/>
        <v>727572022895783.13</v>
      </c>
      <c r="M513" s="47">
        <f>D513/1000*('System Assumptions'!$F$20*1000000)</f>
        <v>276691425000.00018</v>
      </c>
      <c r="N513" s="48"/>
      <c r="O513" s="49">
        <f>(F513/1000)*('System Assumptions'!$F$21*1000000)</f>
        <v>6427291623373.3125</v>
      </c>
      <c r="P513" s="49">
        <f t="shared" si="84"/>
        <v>-6725655016325.5576</v>
      </c>
      <c r="Q513" s="48">
        <f t="shared" si="90"/>
        <v>727550350927831</v>
      </c>
      <c r="R513" s="53">
        <f t="shared" si="91"/>
        <v>53.695308872060394</v>
      </c>
      <c r="S513" s="52">
        <v>35</v>
      </c>
    </row>
    <row r="514" spans="1:19">
      <c r="A514" s="3">
        <f t="shared" si="86"/>
        <v>43</v>
      </c>
      <c r="B514" s="3">
        <f t="shared" si="85"/>
        <v>512</v>
      </c>
      <c r="C514" s="40">
        <f t="shared" si="87"/>
        <v>13549607334.625124</v>
      </c>
      <c r="D514" s="41">
        <f>'System Assumptions'!$E$11/12</f>
        <v>75242280</v>
      </c>
      <c r="E514" s="41">
        <f>-'System Assumptions'!$E$10/12</f>
        <v>-133627000</v>
      </c>
      <c r="F514" s="41">
        <f>IF(I513&lt;'System Assumptions'!$E$29,'Hydrological Data Model'!$E$33/12,'Hydrological Data Model'!$E$33/12)</f>
        <v>183636903.52495179</v>
      </c>
      <c r="G514" s="42">
        <f>IF(I513&lt;'System Assumptions'!$E$29,0,-(MIN('Hydrological Data Model'!$E$34,'Hydrological Data Model'!$E$33-'System Assumptions'!$E$12))/12)</f>
        <v>-125252183.52495177</v>
      </c>
      <c r="H514" s="42">
        <f t="shared" si="83"/>
        <v>13549607334.625124</v>
      </c>
      <c r="I514" s="106">
        <f>H514/'System Assumptions'!$F$15</f>
        <v>15.252270619126433</v>
      </c>
      <c r="J514" s="42">
        <f>'System Assumptions'!$E$30+'System Assumptions'!$E$28-'Data Model Calculations'!I514</f>
        <v>64.501329380873571</v>
      </c>
      <c r="K514" s="45">
        <f t="shared" si="88"/>
        <v>53.695308872060394</v>
      </c>
      <c r="L514" s="46">
        <f t="shared" si="89"/>
        <v>727550350927831</v>
      </c>
      <c r="M514" s="47">
        <f>D514/1000*('System Assumptions'!$F$20*1000000)</f>
        <v>276691425000.00018</v>
      </c>
      <c r="N514" s="48"/>
      <c r="O514" s="49">
        <f>(F514/1000)*('System Assumptions'!$F$21*1000000)</f>
        <v>6427291623373.3125</v>
      </c>
      <c r="P514" s="49">
        <f t="shared" si="84"/>
        <v>-6725454681272.2793</v>
      </c>
      <c r="Q514" s="48">
        <f t="shared" si="90"/>
        <v>727528879294932</v>
      </c>
      <c r="R514" s="53">
        <f t="shared" si="91"/>
        <v>53.693724203784129</v>
      </c>
      <c r="S514" s="52">
        <v>35</v>
      </c>
    </row>
    <row r="515" spans="1:19">
      <c r="A515" s="3">
        <f t="shared" si="86"/>
        <v>43</v>
      </c>
      <c r="B515" s="3">
        <f t="shared" si="85"/>
        <v>513</v>
      </c>
      <c r="C515" s="40">
        <f t="shared" si="87"/>
        <v>13549607334.625124</v>
      </c>
      <c r="D515" s="41">
        <f>'System Assumptions'!$E$11/12</f>
        <v>75242280</v>
      </c>
      <c r="E515" s="41">
        <f>-'System Assumptions'!$E$10/12</f>
        <v>-133627000</v>
      </c>
      <c r="F515" s="41">
        <f>IF(I514&lt;'System Assumptions'!$E$29,'Hydrological Data Model'!$E$33/12,'Hydrological Data Model'!$E$33/12)</f>
        <v>183636903.52495179</v>
      </c>
      <c r="G515" s="42">
        <f>IF(I514&lt;'System Assumptions'!$E$29,0,-(MIN('Hydrological Data Model'!$E$34,'Hydrological Data Model'!$E$33-'System Assumptions'!$E$12))/12)</f>
        <v>-125252183.52495177</v>
      </c>
      <c r="H515" s="42">
        <f t="shared" ref="H515:H578" si="92">SUM(C515:G515)</f>
        <v>13549607334.625124</v>
      </c>
      <c r="I515" s="106">
        <f>H515/'System Assumptions'!$F$15</f>
        <v>15.252270619126433</v>
      </c>
      <c r="J515" s="42">
        <f>'System Assumptions'!$E$30+'System Assumptions'!$E$28-'Data Model Calculations'!I515</f>
        <v>64.501329380873571</v>
      </c>
      <c r="K515" s="45">
        <f t="shared" si="88"/>
        <v>53.693724203784129</v>
      </c>
      <c r="L515" s="46">
        <f t="shared" si="89"/>
        <v>727528879294932</v>
      </c>
      <c r="M515" s="47">
        <f>D515/1000*('System Assumptions'!$F$20*1000000)</f>
        <v>276691425000.00018</v>
      </c>
      <c r="N515" s="48"/>
      <c r="O515" s="49">
        <f>(F515/1000)*('System Assumptions'!$F$21*1000000)</f>
        <v>6427291623373.3125</v>
      </c>
      <c r="P515" s="49">
        <f t="shared" ref="P515:P578" si="93">(G515*1000000)*K515/1000</f>
        <v>-6725256198110.5137</v>
      </c>
      <c r="Q515" s="48">
        <f t="shared" si="90"/>
        <v>727507606145194.75</v>
      </c>
      <c r="R515" s="53">
        <f t="shared" si="91"/>
        <v>53.692154184136193</v>
      </c>
      <c r="S515" s="52">
        <v>35</v>
      </c>
    </row>
    <row r="516" spans="1:19">
      <c r="A516" s="3">
        <f t="shared" si="86"/>
        <v>43</v>
      </c>
      <c r="B516" s="3">
        <f t="shared" si="85"/>
        <v>514</v>
      </c>
      <c r="C516" s="40">
        <f t="shared" si="87"/>
        <v>13549607334.625124</v>
      </c>
      <c r="D516" s="41">
        <f>'System Assumptions'!$E$11/12</f>
        <v>75242280</v>
      </c>
      <c r="E516" s="41">
        <f>-'System Assumptions'!$E$10/12</f>
        <v>-133627000</v>
      </c>
      <c r="F516" s="41">
        <f>IF(I515&lt;'System Assumptions'!$E$29,'Hydrological Data Model'!$E$33/12,'Hydrological Data Model'!$E$33/12)</f>
        <v>183636903.52495179</v>
      </c>
      <c r="G516" s="42">
        <f>IF(I515&lt;'System Assumptions'!$E$29,0,-(MIN('Hydrological Data Model'!$E$34,'Hydrological Data Model'!$E$33-'System Assumptions'!$E$12))/12)</f>
        <v>-125252183.52495177</v>
      </c>
      <c r="H516" s="42">
        <f t="shared" si="92"/>
        <v>13549607334.625124</v>
      </c>
      <c r="I516" s="106">
        <f>H516/'System Assumptions'!$F$15</f>
        <v>15.252270619126433</v>
      </c>
      <c r="J516" s="42">
        <f>'System Assumptions'!$E$30+'System Assumptions'!$E$28-'Data Model Calculations'!I516</f>
        <v>64.501329380873571</v>
      </c>
      <c r="K516" s="45">
        <f t="shared" si="88"/>
        <v>53.692154184136193</v>
      </c>
      <c r="L516" s="46">
        <f t="shared" si="89"/>
        <v>727507606145194.75</v>
      </c>
      <c r="M516" s="47">
        <f>D516/1000*('System Assumptions'!$F$20*1000000)</f>
        <v>276691425000.00018</v>
      </c>
      <c r="N516" s="48"/>
      <c r="O516" s="49">
        <f>(F516/1000)*('System Assumptions'!$F$21*1000000)</f>
        <v>6427291623373.3125</v>
      </c>
      <c r="P516" s="49">
        <f t="shared" si="93"/>
        <v>-6725059549721.4326</v>
      </c>
      <c r="Q516" s="48">
        <f t="shared" si="90"/>
        <v>727486529643846.63</v>
      </c>
      <c r="R516" s="53">
        <f t="shared" si="91"/>
        <v>53.690598677705076</v>
      </c>
      <c r="S516" s="52">
        <v>35</v>
      </c>
    </row>
    <row r="517" spans="1:19">
      <c r="A517" s="3">
        <f t="shared" si="86"/>
        <v>43</v>
      </c>
      <c r="B517" s="3">
        <f t="shared" si="85"/>
        <v>515</v>
      </c>
      <c r="C517" s="40">
        <f t="shared" si="87"/>
        <v>13549607334.625124</v>
      </c>
      <c r="D517" s="41">
        <f>'System Assumptions'!$E$11/12</f>
        <v>75242280</v>
      </c>
      <c r="E517" s="41">
        <f>-'System Assumptions'!$E$10/12</f>
        <v>-133627000</v>
      </c>
      <c r="F517" s="41">
        <f>IF(I516&lt;'System Assumptions'!$E$29,'Hydrological Data Model'!$E$33/12,'Hydrological Data Model'!$E$33/12)</f>
        <v>183636903.52495179</v>
      </c>
      <c r="G517" s="42">
        <f>IF(I516&lt;'System Assumptions'!$E$29,0,-(MIN('Hydrological Data Model'!$E$34,'Hydrological Data Model'!$E$33-'System Assumptions'!$E$12))/12)</f>
        <v>-125252183.52495177</v>
      </c>
      <c r="H517" s="42">
        <f t="shared" si="92"/>
        <v>13549607334.625124</v>
      </c>
      <c r="I517" s="106">
        <f>H517/'System Assumptions'!$F$15</f>
        <v>15.252270619126433</v>
      </c>
      <c r="J517" s="42">
        <f>'System Assumptions'!$E$30+'System Assumptions'!$E$28-'Data Model Calculations'!I517</f>
        <v>64.501329380873571</v>
      </c>
      <c r="K517" s="45">
        <f t="shared" si="88"/>
        <v>53.690598677705076</v>
      </c>
      <c r="L517" s="46">
        <f t="shared" si="89"/>
        <v>727486529643846.63</v>
      </c>
      <c r="M517" s="47">
        <f>D517/1000*('System Assumptions'!$F$20*1000000)</f>
        <v>276691425000.00018</v>
      </c>
      <c r="N517" s="48"/>
      <c r="O517" s="49">
        <f>(F517/1000)*('System Assumptions'!$F$21*1000000)</f>
        <v>6427291623373.3125</v>
      </c>
      <c r="P517" s="49">
        <f t="shared" si="93"/>
        <v>-6724864719144.4492</v>
      </c>
      <c r="Q517" s="48">
        <f t="shared" si="90"/>
        <v>727465647973075.5</v>
      </c>
      <c r="R517" s="53">
        <f t="shared" si="91"/>
        <v>53.689057550331007</v>
      </c>
      <c r="S517" s="52">
        <v>35</v>
      </c>
    </row>
    <row r="518" spans="1:19">
      <c r="A518" s="3">
        <f t="shared" si="86"/>
        <v>43</v>
      </c>
      <c r="B518" s="3">
        <f t="shared" si="85"/>
        <v>516</v>
      </c>
      <c r="C518" s="40">
        <f t="shared" si="87"/>
        <v>13549607334.625124</v>
      </c>
      <c r="D518" s="41">
        <f>'System Assumptions'!$E$11/12</f>
        <v>75242280</v>
      </c>
      <c r="E518" s="41">
        <f>-'System Assumptions'!$E$10/12</f>
        <v>-133627000</v>
      </c>
      <c r="F518" s="41">
        <f>IF(I517&lt;'System Assumptions'!$E$29,'Hydrological Data Model'!$E$33/12,'Hydrological Data Model'!$E$33/12)</f>
        <v>183636903.52495179</v>
      </c>
      <c r="G518" s="42">
        <f>IF(I517&lt;'System Assumptions'!$E$29,0,-(MIN('Hydrological Data Model'!$E$34,'Hydrological Data Model'!$E$33-'System Assumptions'!$E$12))/12)</f>
        <v>-125252183.52495177</v>
      </c>
      <c r="H518" s="42">
        <f t="shared" si="92"/>
        <v>13549607334.625124</v>
      </c>
      <c r="I518" s="106">
        <f>H518/'System Assumptions'!$F$15</f>
        <v>15.252270619126433</v>
      </c>
      <c r="J518" s="42">
        <f>'System Assumptions'!$E$30+'System Assumptions'!$E$28-'Data Model Calculations'!I518</f>
        <v>64.501329380873571</v>
      </c>
      <c r="K518" s="45">
        <f t="shared" si="88"/>
        <v>53.689057550331007</v>
      </c>
      <c r="L518" s="46">
        <f t="shared" si="89"/>
        <v>727465647973075.5</v>
      </c>
      <c r="M518" s="47">
        <f>D518/1000*('System Assumptions'!$F$20*1000000)</f>
        <v>276691425000.00018</v>
      </c>
      <c r="N518" s="48"/>
      <c r="O518" s="49">
        <f>(F518/1000)*('System Assumptions'!$F$21*1000000)</f>
        <v>6427291623373.3125</v>
      </c>
      <c r="P518" s="49">
        <f t="shared" si="93"/>
        <v>-6724671689575.7568</v>
      </c>
      <c r="Q518" s="48">
        <f t="shared" si="90"/>
        <v>727444959331873</v>
      </c>
      <c r="R518" s="53">
        <f t="shared" si="91"/>
        <v>53.687530669094421</v>
      </c>
      <c r="S518" s="52">
        <v>35</v>
      </c>
    </row>
    <row r="519" spans="1:19">
      <c r="A519" s="3">
        <f t="shared" si="86"/>
        <v>44</v>
      </c>
      <c r="B519" s="3">
        <f t="shared" si="85"/>
        <v>517</v>
      </c>
      <c r="C519" s="40">
        <f t="shared" si="87"/>
        <v>13549607334.625124</v>
      </c>
      <c r="D519" s="41">
        <f>'System Assumptions'!$E$11/12</f>
        <v>75242280</v>
      </c>
      <c r="E519" s="41">
        <f>-'System Assumptions'!$E$10/12</f>
        <v>-133627000</v>
      </c>
      <c r="F519" s="41">
        <f>IF(I518&lt;'System Assumptions'!$E$29,'Hydrological Data Model'!$E$33/12,'Hydrological Data Model'!$E$33/12)</f>
        <v>183636903.52495179</v>
      </c>
      <c r="G519" s="42">
        <f>IF(I518&lt;'System Assumptions'!$E$29,0,-(MIN('Hydrological Data Model'!$E$34,'Hydrological Data Model'!$E$33-'System Assumptions'!$E$12))/12)</f>
        <v>-125252183.52495177</v>
      </c>
      <c r="H519" s="42">
        <f t="shared" si="92"/>
        <v>13549607334.625124</v>
      </c>
      <c r="I519" s="106">
        <f>H519/'System Assumptions'!$F$15</f>
        <v>15.252270619126433</v>
      </c>
      <c r="J519" s="42">
        <f>'System Assumptions'!$E$30+'System Assumptions'!$E$28-'Data Model Calculations'!I519</f>
        <v>64.501329380873571</v>
      </c>
      <c r="K519" s="45">
        <f t="shared" si="88"/>
        <v>53.687530669094421</v>
      </c>
      <c r="L519" s="46">
        <f t="shared" si="89"/>
        <v>727444959331873</v>
      </c>
      <c r="M519" s="47">
        <f>D519/1000*('System Assumptions'!$F$20*1000000)</f>
        <v>276691425000.00018</v>
      </c>
      <c r="N519" s="48"/>
      <c r="O519" s="49">
        <f>(F519/1000)*('System Assumptions'!$F$21*1000000)</f>
        <v>6427291623373.3125</v>
      </c>
      <c r="P519" s="49">
        <f t="shared" si="93"/>
        <v>-6724480444366.8906</v>
      </c>
      <c r="Q519" s="48">
        <f t="shared" si="90"/>
        <v>727424461935879.38</v>
      </c>
      <c r="R519" s="53">
        <f t="shared" si="91"/>
        <v>53.6860179023044</v>
      </c>
      <c r="S519" s="52">
        <v>35</v>
      </c>
    </row>
    <row r="520" spans="1:19">
      <c r="A520" s="3">
        <f t="shared" si="86"/>
        <v>44</v>
      </c>
      <c r="B520" s="3">
        <f t="shared" si="85"/>
        <v>518</v>
      </c>
      <c r="C520" s="40">
        <f t="shared" si="87"/>
        <v>13549607334.625124</v>
      </c>
      <c r="D520" s="41">
        <f>'System Assumptions'!$E$11/12</f>
        <v>75242280</v>
      </c>
      <c r="E520" s="41">
        <f>-'System Assumptions'!$E$10/12</f>
        <v>-133627000</v>
      </c>
      <c r="F520" s="41">
        <f>IF(I519&lt;'System Assumptions'!$E$29,'Hydrological Data Model'!$E$33/12,'Hydrological Data Model'!$E$33/12)</f>
        <v>183636903.52495179</v>
      </c>
      <c r="G520" s="42">
        <f>IF(I519&lt;'System Assumptions'!$E$29,0,-(MIN('Hydrological Data Model'!$E$34,'Hydrological Data Model'!$E$33-'System Assumptions'!$E$12))/12)</f>
        <v>-125252183.52495177</v>
      </c>
      <c r="H520" s="42">
        <f t="shared" si="92"/>
        <v>13549607334.625124</v>
      </c>
      <c r="I520" s="106">
        <f>H520/'System Assumptions'!$F$15</f>
        <v>15.252270619126433</v>
      </c>
      <c r="J520" s="42">
        <f>'System Assumptions'!$E$30+'System Assumptions'!$E$28-'Data Model Calculations'!I520</f>
        <v>64.501329380873571</v>
      </c>
      <c r="K520" s="45">
        <f t="shared" si="88"/>
        <v>53.6860179023044</v>
      </c>
      <c r="L520" s="46">
        <f t="shared" si="89"/>
        <v>727424461935879.38</v>
      </c>
      <c r="M520" s="47">
        <f>D520/1000*('System Assumptions'!$F$20*1000000)</f>
        <v>276691425000.00018</v>
      </c>
      <c r="N520" s="48"/>
      <c r="O520" s="49">
        <f>(F520/1000)*('System Assumptions'!$F$21*1000000)</f>
        <v>6427291623373.3125</v>
      </c>
      <c r="P520" s="49">
        <f t="shared" si="93"/>
        <v>-6724290967023.2773</v>
      </c>
      <c r="Q520" s="48">
        <f t="shared" si="90"/>
        <v>727404154017229.5</v>
      </c>
      <c r="R520" s="53">
        <f t="shared" si="91"/>
        <v>53.684519119487419</v>
      </c>
      <c r="S520" s="52">
        <v>35</v>
      </c>
    </row>
    <row r="521" spans="1:19">
      <c r="A521" s="3">
        <f t="shared" si="86"/>
        <v>44</v>
      </c>
      <c r="B521" s="3">
        <f t="shared" si="85"/>
        <v>519</v>
      </c>
      <c r="C521" s="40">
        <f t="shared" si="87"/>
        <v>13549607334.625124</v>
      </c>
      <c r="D521" s="41">
        <f>'System Assumptions'!$E$11/12</f>
        <v>75242280</v>
      </c>
      <c r="E521" s="41">
        <f>-'System Assumptions'!$E$10/12</f>
        <v>-133627000</v>
      </c>
      <c r="F521" s="41">
        <f>IF(I520&lt;'System Assumptions'!$E$29,'Hydrological Data Model'!$E$33/12,'Hydrological Data Model'!$E$33/12)</f>
        <v>183636903.52495179</v>
      </c>
      <c r="G521" s="42">
        <f>IF(I520&lt;'System Assumptions'!$E$29,0,-(MIN('Hydrological Data Model'!$E$34,'Hydrological Data Model'!$E$33-'System Assumptions'!$E$12))/12)</f>
        <v>-125252183.52495177</v>
      </c>
      <c r="H521" s="42">
        <f t="shared" si="92"/>
        <v>13549607334.625124</v>
      </c>
      <c r="I521" s="106">
        <f>H521/'System Assumptions'!$F$15</f>
        <v>15.252270619126433</v>
      </c>
      <c r="J521" s="42">
        <f>'System Assumptions'!$E$30+'System Assumptions'!$E$28-'Data Model Calculations'!I521</f>
        <v>64.501329380873571</v>
      </c>
      <c r="K521" s="45">
        <f t="shared" si="88"/>
        <v>53.684519119487419</v>
      </c>
      <c r="L521" s="46">
        <f t="shared" si="89"/>
        <v>727404154017229.5</v>
      </c>
      <c r="M521" s="47">
        <f>D521/1000*('System Assumptions'!$F$20*1000000)</f>
        <v>276691425000.00018</v>
      </c>
      <c r="N521" s="48"/>
      <c r="O521" s="49">
        <f>(F521/1000)*('System Assumptions'!$F$21*1000000)</f>
        <v>6427291623373.3125</v>
      </c>
      <c r="P521" s="49">
        <f t="shared" si="93"/>
        <v>-6724103241202.8203</v>
      </c>
      <c r="Q521" s="48">
        <f t="shared" si="90"/>
        <v>727384033824399.88</v>
      </c>
      <c r="R521" s="53">
        <f t="shared" si="91"/>
        <v>53.683034191376024</v>
      </c>
      <c r="S521" s="52">
        <v>35</v>
      </c>
    </row>
    <row r="522" spans="1:19">
      <c r="A522" s="3">
        <f t="shared" si="86"/>
        <v>44</v>
      </c>
      <c r="B522" s="3">
        <f t="shared" si="85"/>
        <v>520</v>
      </c>
      <c r="C522" s="40">
        <f t="shared" si="87"/>
        <v>13549607334.625124</v>
      </c>
      <c r="D522" s="41">
        <f>'System Assumptions'!$E$11/12</f>
        <v>75242280</v>
      </c>
      <c r="E522" s="41">
        <f>-'System Assumptions'!$E$10/12</f>
        <v>-133627000</v>
      </c>
      <c r="F522" s="41">
        <f>IF(I521&lt;'System Assumptions'!$E$29,'Hydrological Data Model'!$E$33/12,'Hydrological Data Model'!$E$33/12)</f>
        <v>183636903.52495179</v>
      </c>
      <c r="G522" s="42">
        <f>IF(I521&lt;'System Assumptions'!$E$29,0,-(MIN('Hydrological Data Model'!$E$34,'Hydrological Data Model'!$E$33-'System Assumptions'!$E$12))/12)</f>
        <v>-125252183.52495177</v>
      </c>
      <c r="H522" s="42">
        <f t="shared" si="92"/>
        <v>13549607334.625124</v>
      </c>
      <c r="I522" s="106">
        <f>H522/'System Assumptions'!$F$15</f>
        <v>15.252270619126433</v>
      </c>
      <c r="J522" s="42">
        <f>'System Assumptions'!$E$30+'System Assumptions'!$E$28-'Data Model Calculations'!I522</f>
        <v>64.501329380873571</v>
      </c>
      <c r="K522" s="45">
        <f t="shared" si="88"/>
        <v>53.683034191376024</v>
      </c>
      <c r="L522" s="46">
        <f t="shared" si="89"/>
        <v>727384033824399.88</v>
      </c>
      <c r="M522" s="47">
        <f>D522/1000*('System Assumptions'!$F$20*1000000)</f>
        <v>276691425000.00018</v>
      </c>
      <c r="N522" s="48"/>
      <c r="O522" s="49">
        <f>(F522/1000)*('System Assumptions'!$F$21*1000000)</f>
        <v>6427291623373.3125</v>
      </c>
      <c r="P522" s="49">
        <f t="shared" si="93"/>
        <v>-6723917250714.4902</v>
      </c>
      <c r="Q522" s="48">
        <f t="shared" si="90"/>
        <v>727364099622058.75</v>
      </c>
      <c r="R522" s="53">
        <f t="shared" si="91"/>
        <v>53.681562989897721</v>
      </c>
      <c r="S522" s="52">
        <v>35</v>
      </c>
    </row>
    <row r="523" spans="1:19">
      <c r="A523" s="3">
        <f t="shared" si="86"/>
        <v>44</v>
      </c>
      <c r="B523" s="3">
        <f t="shared" si="85"/>
        <v>521</v>
      </c>
      <c r="C523" s="40">
        <f t="shared" si="87"/>
        <v>13549607334.625124</v>
      </c>
      <c r="D523" s="41">
        <f>'System Assumptions'!$E$11/12</f>
        <v>75242280</v>
      </c>
      <c r="E523" s="41">
        <f>-'System Assumptions'!$E$10/12</f>
        <v>-133627000</v>
      </c>
      <c r="F523" s="41">
        <f>IF(I522&lt;'System Assumptions'!$E$29,'Hydrological Data Model'!$E$33/12,'Hydrological Data Model'!$E$33/12)</f>
        <v>183636903.52495179</v>
      </c>
      <c r="G523" s="42">
        <f>IF(I522&lt;'System Assumptions'!$E$29,0,-(MIN('Hydrological Data Model'!$E$34,'Hydrological Data Model'!$E$33-'System Assumptions'!$E$12))/12)</f>
        <v>-125252183.52495177</v>
      </c>
      <c r="H523" s="42">
        <f t="shared" si="92"/>
        <v>13549607334.625124</v>
      </c>
      <c r="I523" s="106">
        <f>H523/'System Assumptions'!$F$15</f>
        <v>15.252270619126433</v>
      </c>
      <c r="J523" s="42">
        <f>'System Assumptions'!$E$30+'System Assumptions'!$E$28-'Data Model Calculations'!I523</f>
        <v>64.501329380873571</v>
      </c>
      <c r="K523" s="45">
        <f t="shared" si="88"/>
        <v>53.681562989897721</v>
      </c>
      <c r="L523" s="46">
        <f t="shared" si="89"/>
        <v>727364099622058.75</v>
      </c>
      <c r="M523" s="47">
        <f>D523/1000*('System Assumptions'!$F$20*1000000)</f>
        <v>276691425000.00018</v>
      </c>
      <c r="N523" s="48"/>
      <c r="O523" s="49">
        <f>(F523/1000)*('System Assumptions'!$F$21*1000000)</f>
        <v>6427291623373.3125</v>
      </c>
      <c r="P523" s="49">
        <f t="shared" si="93"/>
        <v>-6723732979516.9277</v>
      </c>
      <c r="Q523" s="48">
        <f t="shared" si="90"/>
        <v>727344349690915.13</v>
      </c>
      <c r="R523" s="53">
        <f t="shared" si="91"/>
        <v>53.680105388163888</v>
      </c>
      <c r="S523" s="52">
        <v>35</v>
      </c>
    </row>
    <row r="524" spans="1:19">
      <c r="A524" s="3">
        <f t="shared" si="86"/>
        <v>44</v>
      </c>
      <c r="B524" s="3">
        <f t="shared" si="85"/>
        <v>522</v>
      </c>
      <c r="C524" s="40">
        <f t="shared" si="87"/>
        <v>13549607334.625124</v>
      </c>
      <c r="D524" s="41">
        <f>'System Assumptions'!$E$11/12</f>
        <v>75242280</v>
      </c>
      <c r="E524" s="41">
        <f>-'System Assumptions'!$E$10/12</f>
        <v>-133627000</v>
      </c>
      <c r="F524" s="41">
        <f>IF(I523&lt;'System Assumptions'!$E$29,'Hydrological Data Model'!$E$33/12,'Hydrological Data Model'!$E$33/12)</f>
        <v>183636903.52495179</v>
      </c>
      <c r="G524" s="42">
        <f>IF(I523&lt;'System Assumptions'!$E$29,0,-(MIN('Hydrological Data Model'!$E$34,'Hydrological Data Model'!$E$33-'System Assumptions'!$E$12))/12)</f>
        <v>-125252183.52495177</v>
      </c>
      <c r="H524" s="42">
        <f t="shared" si="92"/>
        <v>13549607334.625124</v>
      </c>
      <c r="I524" s="106">
        <f>H524/'System Assumptions'!$F$15</f>
        <v>15.252270619126433</v>
      </c>
      <c r="J524" s="42">
        <f>'System Assumptions'!$E$30+'System Assumptions'!$E$28-'Data Model Calculations'!I524</f>
        <v>64.501329380873571</v>
      </c>
      <c r="K524" s="45">
        <f t="shared" si="88"/>
        <v>53.680105388163888</v>
      </c>
      <c r="L524" s="46">
        <f t="shared" si="89"/>
        <v>727344349690915.13</v>
      </c>
      <c r="M524" s="47">
        <f>D524/1000*('System Assumptions'!$F$20*1000000)</f>
        <v>276691425000.00018</v>
      </c>
      <c r="N524" s="48"/>
      <c r="O524" s="49">
        <f>(F524/1000)*('System Assumptions'!$F$21*1000000)</f>
        <v>6427291623373.3125</v>
      </c>
      <c r="P524" s="49">
        <f t="shared" si="93"/>
        <v>-6723550411717.0547</v>
      </c>
      <c r="Q524" s="48">
        <f t="shared" si="90"/>
        <v>727324782327571.5</v>
      </c>
      <c r="R524" s="53">
        <f t="shared" si="91"/>
        <v>53.678661260458902</v>
      </c>
      <c r="S524" s="52">
        <v>35</v>
      </c>
    </row>
    <row r="525" spans="1:19">
      <c r="A525" s="3">
        <f t="shared" si="86"/>
        <v>44</v>
      </c>
      <c r="B525" s="3">
        <f t="shared" si="85"/>
        <v>523</v>
      </c>
      <c r="C525" s="40">
        <f t="shared" si="87"/>
        <v>13549607334.625124</v>
      </c>
      <c r="D525" s="41">
        <f>'System Assumptions'!$E$11/12</f>
        <v>75242280</v>
      </c>
      <c r="E525" s="41">
        <f>-'System Assumptions'!$E$10/12</f>
        <v>-133627000</v>
      </c>
      <c r="F525" s="41">
        <f>IF(I524&lt;'System Assumptions'!$E$29,'Hydrological Data Model'!$E$33/12,'Hydrological Data Model'!$E$33/12)</f>
        <v>183636903.52495179</v>
      </c>
      <c r="G525" s="42">
        <f>IF(I524&lt;'System Assumptions'!$E$29,0,-(MIN('Hydrological Data Model'!$E$34,'Hydrological Data Model'!$E$33-'System Assumptions'!$E$12))/12)</f>
        <v>-125252183.52495177</v>
      </c>
      <c r="H525" s="42">
        <f t="shared" si="92"/>
        <v>13549607334.625124</v>
      </c>
      <c r="I525" s="106">
        <f>H525/'System Assumptions'!$F$15</f>
        <v>15.252270619126433</v>
      </c>
      <c r="J525" s="42">
        <f>'System Assumptions'!$E$30+'System Assumptions'!$E$28-'Data Model Calculations'!I525</f>
        <v>64.501329380873571</v>
      </c>
      <c r="K525" s="45">
        <f t="shared" si="88"/>
        <v>53.678661260458902</v>
      </c>
      <c r="L525" s="46">
        <f t="shared" si="89"/>
        <v>727324782327571.5</v>
      </c>
      <c r="M525" s="47">
        <f>D525/1000*('System Assumptions'!$F$20*1000000)</f>
        <v>276691425000.00018</v>
      </c>
      <c r="N525" s="48"/>
      <c r="O525" s="49">
        <f>(F525/1000)*('System Assumptions'!$F$21*1000000)</f>
        <v>6427291623373.3125</v>
      </c>
      <c r="P525" s="49">
        <f t="shared" si="93"/>
        <v>-6723369531568.7168</v>
      </c>
      <c r="Q525" s="48">
        <f t="shared" si="90"/>
        <v>727305395844376</v>
      </c>
      <c r="R525" s="53">
        <f t="shared" si="91"/>
        <v>53.677230482229199</v>
      </c>
      <c r="S525" s="52">
        <v>35</v>
      </c>
    </row>
    <row r="526" spans="1:19">
      <c r="A526" s="3">
        <f t="shared" si="86"/>
        <v>44</v>
      </c>
      <c r="B526" s="3">
        <f t="shared" si="85"/>
        <v>524</v>
      </c>
      <c r="C526" s="40">
        <f t="shared" si="87"/>
        <v>13549607334.625124</v>
      </c>
      <c r="D526" s="41">
        <f>'System Assumptions'!$E$11/12</f>
        <v>75242280</v>
      </c>
      <c r="E526" s="41">
        <f>-'System Assumptions'!$E$10/12</f>
        <v>-133627000</v>
      </c>
      <c r="F526" s="41">
        <f>IF(I525&lt;'System Assumptions'!$E$29,'Hydrological Data Model'!$E$33/12,'Hydrological Data Model'!$E$33/12)</f>
        <v>183636903.52495179</v>
      </c>
      <c r="G526" s="42">
        <f>IF(I525&lt;'System Assumptions'!$E$29,0,-(MIN('Hydrological Data Model'!$E$34,'Hydrological Data Model'!$E$33-'System Assumptions'!$E$12))/12)</f>
        <v>-125252183.52495177</v>
      </c>
      <c r="H526" s="42">
        <f t="shared" si="92"/>
        <v>13549607334.625124</v>
      </c>
      <c r="I526" s="106">
        <f>H526/'System Assumptions'!$F$15</f>
        <v>15.252270619126433</v>
      </c>
      <c r="J526" s="42">
        <f>'System Assumptions'!$E$30+'System Assumptions'!$E$28-'Data Model Calculations'!I526</f>
        <v>64.501329380873571</v>
      </c>
      <c r="K526" s="45">
        <f t="shared" si="88"/>
        <v>53.677230482229199</v>
      </c>
      <c r="L526" s="46">
        <f t="shared" si="89"/>
        <v>727305395844376</v>
      </c>
      <c r="M526" s="47">
        <f>D526/1000*('System Assumptions'!$F$20*1000000)</f>
        <v>276691425000.00018</v>
      </c>
      <c r="N526" s="48"/>
      <c r="O526" s="49">
        <f>(F526/1000)*('System Assumptions'!$F$21*1000000)</f>
        <v>6427291623373.3125</v>
      </c>
      <c r="P526" s="49">
        <f t="shared" si="93"/>
        <v>-6723190323471.3066</v>
      </c>
      <c r="Q526" s="48">
        <f t="shared" si="90"/>
        <v>727286188569278</v>
      </c>
      <c r="R526" s="53">
        <f t="shared" si="91"/>
        <v>53.675812930072617</v>
      </c>
      <c r="S526" s="52">
        <v>35</v>
      </c>
    </row>
    <row r="527" spans="1:19">
      <c r="A527" s="3">
        <f t="shared" si="86"/>
        <v>44</v>
      </c>
      <c r="B527" s="3">
        <f t="shared" si="85"/>
        <v>525</v>
      </c>
      <c r="C527" s="40">
        <f t="shared" si="87"/>
        <v>13549607334.625124</v>
      </c>
      <c r="D527" s="41">
        <f>'System Assumptions'!$E$11/12</f>
        <v>75242280</v>
      </c>
      <c r="E527" s="41">
        <f>-'System Assumptions'!$E$10/12</f>
        <v>-133627000</v>
      </c>
      <c r="F527" s="41">
        <f>IF(I526&lt;'System Assumptions'!$E$29,'Hydrological Data Model'!$E$33/12,'Hydrological Data Model'!$E$33/12)</f>
        <v>183636903.52495179</v>
      </c>
      <c r="G527" s="42">
        <f>IF(I526&lt;'System Assumptions'!$E$29,0,-(MIN('Hydrological Data Model'!$E$34,'Hydrological Data Model'!$E$33-'System Assumptions'!$E$12))/12)</f>
        <v>-125252183.52495177</v>
      </c>
      <c r="H527" s="42">
        <f t="shared" si="92"/>
        <v>13549607334.625124</v>
      </c>
      <c r="I527" s="106">
        <f>H527/'System Assumptions'!$F$15</f>
        <v>15.252270619126433</v>
      </c>
      <c r="J527" s="42">
        <f>'System Assumptions'!$E$30+'System Assumptions'!$E$28-'Data Model Calculations'!I527</f>
        <v>64.501329380873571</v>
      </c>
      <c r="K527" s="45">
        <f t="shared" si="88"/>
        <v>53.675812930072617</v>
      </c>
      <c r="L527" s="46">
        <f t="shared" si="89"/>
        <v>727286188569278</v>
      </c>
      <c r="M527" s="47">
        <f>D527/1000*('System Assumptions'!$F$20*1000000)</f>
        <v>276691425000.00018</v>
      </c>
      <c r="N527" s="48"/>
      <c r="O527" s="49">
        <f>(F527/1000)*('System Assumptions'!$F$21*1000000)</f>
        <v>6427291623373.3125</v>
      </c>
      <c r="P527" s="49">
        <f t="shared" si="93"/>
        <v>-6723012771968.4336</v>
      </c>
      <c r="Q527" s="48">
        <f t="shared" si="90"/>
        <v>727267158845682.88</v>
      </c>
      <c r="R527" s="53">
        <f t="shared" si="91"/>
        <v>53.674408481727717</v>
      </c>
      <c r="S527" s="52">
        <v>35</v>
      </c>
    </row>
    <row r="528" spans="1:19">
      <c r="A528" s="3">
        <f t="shared" si="86"/>
        <v>44</v>
      </c>
      <c r="B528" s="3">
        <f t="shared" ref="B528:B591" si="94">B527+1</f>
        <v>526</v>
      </c>
      <c r="C528" s="40">
        <f t="shared" si="87"/>
        <v>13549607334.625124</v>
      </c>
      <c r="D528" s="41">
        <f>'System Assumptions'!$E$11/12</f>
        <v>75242280</v>
      </c>
      <c r="E528" s="41">
        <f>-'System Assumptions'!$E$10/12</f>
        <v>-133627000</v>
      </c>
      <c r="F528" s="41">
        <f>IF(I527&lt;'System Assumptions'!$E$29,'Hydrological Data Model'!$E$33/12,'Hydrological Data Model'!$E$33/12)</f>
        <v>183636903.52495179</v>
      </c>
      <c r="G528" s="42">
        <f>IF(I527&lt;'System Assumptions'!$E$29,0,-(MIN('Hydrological Data Model'!$E$34,'Hydrological Data Model'!$E$33-'System Assumptions'!$E$12))/12)</f>
        <v>-125252183.52495177</v>
      </c>
      <c r="H528" s="42">
        <f t="shared" si="92"/>
        <v>13549607334.625124</v>
      </c>
      <c r="I528" s="106">
        <f>H528/'System Assumptions'!$F$15</f>
        <v>15.252270619126433</v>
      </c>
      <c r="J528" s="42">
        <f>'System Assumptions'!$E$30+'System Assumptions'!$E$28-'Data Model Calculations'!I528</f>
        <v>64.501329380873571</v>
      </c>
      <c r="K528" s="45">
        <f t="shared" si="88"/>
        <v>53.674408481727717</v>
      </c>
      <c r="L528" s="46">
        <f t="shared" si="89"/>
        <v>727267158845682.88</v>
      </c>
      <c r="M528" s="47">
        <f>D528/1000*('System Assumptions'!$F$20*1000000)</f>
        <v>276691425000.00018</v>
      </c>
      <c r="N528" s="48"/>
      <c r="O528" s="49">
        <f>(F528/1000)*('System Assumptions'!$F$21*1000000)</f>
        <v>6427291623373.3125</v>
      </c>
      <c r="P528" s="49">
        <f t="shared" si="93"/>
        <v>-6722836861746.5879</v>
      </c>
      <c r="Q528" s="48">
        <f t="shared" si="90"/>
        <v>727248305032309.63</v>
      </c>
      <c r="R528" s="53">
        <f t="shared" si="91"/>
        <v>53.673017016063248</v>
      </c>
      <c r="S528" s="52">
        <v>35</v>
      </c>
    </row>
    <row r="529" spans="1:19">
      <c r="A529" s="3">
        <f t="shared" si="86"/>
        <v>44</v>
      </c>
      <c r="B529" s="3">
        <f t="shared" si="94"/>
        <v>527</v>
      </c>
      <c r="C529" s="40">
        <f t="shared" si="87"/>
        <v>13549607334.625124</v>
      </c>
      <c r="D529" s="41">
        <f>'System Assumptions'!$E$11/12</f>
        <v>75242280</v>
      </c>
      <c r="E529" s="41">
        <f>-'System Assumptions'!$E$10/12</f>
        <v>-133627000</v>
      </c>
      <c r="F529" s="41">
        <f>IF(I528&lt;'System Assumptions'!$E$29,'Hydrological Data Model'!$E$33/12,'Hydrological Data Model'!$E$33/12)</f>
        <v>183636903.52495179</v>
      </c>
      <c r="G529" s="42">
        <f>IF(I528&lt;'System Assumptions'!$E$29,0,-(MIN('Hydrological Data Model'!$E$34,'Hydrological Data Model'!$E$33-'System Assumptions'!$E$12))/12)</f>
        <v>-125252183.52495177</v>
      </c>
      <c r="H529" s="42">
        <f t="shared" si="92"/>
        <v>13549607334.625124</v>
      </c>
      <c r="I529" s="106">
        <f>H529/'System Assumptions'!$F$15</f>
        <v>15.252270619126433</v>
      </c>
      <c r="J529" s="42">
        <f>'System Assumptions'!$E$30+'System Assumptions'!$E$28-'Data Model Calculations'!I529</f>
        <v>64.501329380873571</v>
      </c>
      <c r="K529" s="45">
        <f t="shared" si="88"/>
        <v>53.673017016063248</v>
      </c>
      <c r="L529" s="46">
        <f t="shared" si="89"/>
        <v>727248305032309.63</v>
      </c>
      <c r="M529" s="47">
        <f>D529/1000*('System Assumptions'!$F$20*1000000)</f>
        <v>276691425000.00018</v>
      </c>
      <c r="N529" s="48"/>
      <c r="O529" s="49">
        <f>(F529/1000)*('System Assumptions'!$F$21*1000000)</f>
        <v>6427291623373.3125</v>
      </c>
      <c r="P529" s="49">
        <f t="shared" si="93"/>
        <v>-6722662577633.8135</v>
      </c>
      <c r="Q529" s="48">
        <f t="shared" si="90"/>
        <v>727229625503049.13</v>
      </c>
      <c r="R529" s="53">
        <f t="shared" si="91"/>
        <v>53.671638413067654</v>
      </c>
      <c r="S529" s="52">
        <v>35</v>
      </c>
    </row>
    <row r="530" spans="1:19">
      <c r="A530" s="3">
        <f t="shared" si="86"/>
        <v>44</v>
      </c>
      <c r="B530" s="3">
        <f t="shared" si="94"/>
        <v>528</v>
      </c>
      <c r="C530" s="40">
        <f t="shared" si="87"/>
        <v>13549607334.625124</v>
      </c>
      <c r="D530" s="41">
        <f>'System Assumptions'!$E$11/12</f>
        <v>75242280</v>
      </c>
      <c r="E530" s="41">
        <f>-'System Assumptions'!$E$10/12</f>
        <v>-133627000</v>
      </c>
      <c r="F530" s="41">
        <f>IF(I529&lt;'System Assumptions'!$E$29,'Hydrological Data Model'!$E$33/12,'Hydrological Data Model'!$E$33/12)</f>
        <v>183636903.52495179</v>
      </c>
      <c r="G530" s="42">
        <f>IF(I529&lt;'System Assumptions'!$E$29,0,-(MIN('Hydrological Data Model'!$E$34,'Hydrological Data Model'!$E$33-'System Assumptions'!$E$12))/12)</f>
        <v>-125252183.52495177</v>
      </c>
      <c r="H530" s="42">
        <f t="shared" si="92"/>
        <v>13549607334.625124</v>
      </c>
      <c r="I530" s="106">
        <f>H530/'System Assumptions'!$F$15</f>
        <v>15.252270619126433</v>
      </c>
      <c r="J530" s="42">
        <f>'System Assumptions'!$E$30+'System Assumptions'!$E$28-'Data Model Calculations'!I530</f>
        <v>64.501329380873571</v>
      </c>
      <c r="K530" s="45">
        <f t="shared" si="88"/>
        <v>53.671638413067654</v>
      </c>
      <c r="L530" s="46">
        <f t="shared" si="89"/>
        <v>727229625503049.13</v>
      </c>
      <c r="M530" s="47">
        <f>D530/1000*('System Assumptions'!$F$20*1000000)</f>
        <v>276691425000.00018</v>
      </c>
      <c r="N530" s="48"/>
      <c r="O530" s="49">
        <f>(F530/1000)*('System Assumptions'!$F$21*1000000)</f>
        <v>6427291623373.3125</v>
      </c>
      <c r="P530" s="49">
        <f t="shared" si="93"/>
        <v>-6722489904598.4014</v>
      </c>
      <c r="Q530" s="48">
        <f t="shared" si="90"/>
        <v>727211118646824.13</v>
      </c>
      <c r="R530" s="53">
        <f t="shared" si="91"/>
        <v>53.670272553838828</v>
      </c>
      <c r="S530" s="52">
        <v>35</v>
      </c>
    </row>
    <row r="531" spans="1:19">
      <c r="A531" s="3">
        <f t="shared" si="86"/>
        <v>45</v>
      </c>
      <c r="B531" s="3">
        <f t="shared" si="94"/>
        <v>529</v>
      </c>
      <c r="C531" s="40">
        <f t="shared" si="87"/>
        <v>13549607334.625124</v>
      </c>
      <c r="D531" s="41">
        <f>'System Assumptions'!$E$11/12</f>
        <v>75242280</v>
      </c>
      <c r="E531" s="41">
        <f>-'System Assumptions'!$E$10/12</f>
        <v>-133627000</v>
      </c>
      <c r="F531" s="41">
        <f>IF(I530&lt;'System Assumptions'!$E$29,'Hydrological Data Model'!$E$33/12,'Hydrological Data Model'!$E$33/12)</f>
        <v>183636903.52495179</v>
      </c>
      <c r="G531" s="42">
        <f>IF(I530&lt;'System Assumptions'!$E$29,0,-(MIN('Hydrological Data Model'!$E$34,'Hydrological Data Model'!$E$33-'System Assumptions'!$E$12))/12)</f>
        <v>-125252183.52495177</v>
      </c>
      <c r="H531" s="42">
        <f t="shared" si="92"/>
        <v>13549607334.625124</v>
      </c>
      <c r="I531" s="106">
        <f>H531/'System Assumptions'!$F$15</f>
        <v>15.252270619126433</v>
      </c>
      <c r="J531" s="42">
        <f>'System Assumptions'!$E$30+'System Assumptions'!$E$28-'Data Model Calculations'!I531</f>
        <v>64.501329380873571</v>
      </c>
      <c r="K531" s="45">
        <f t="shared" si="88"/>
        <v>53.670272553838828</v>
      </c>
      <c r="L531" s="46">
        <f t="shared" si="89"/>
        <v>727211118646824.13</v>
      </c>
      <c r="M531" s="47">
        <f>D531/1000*('System Assumptions'!$F$20*1000000)</f>
        <v>276691425000.00018</v>
      </c>
      <c r="N531" s="48"/>
      <c r="O531" s="49">
        <f>(F531/1000)*('System Assumptions'!$F$21*1000000)</f>
        <v>6427291623373.3125</v>
      </c>
      <c r="P531" s="49">
        <f t="shared" si="93"/>
        <v>-6722318827747.6025</v>
      </c>
      <c r="Q531" s="48">
        <f t="shared" si="90"/>
        <v>727192782867449.88</v>
      </c>
      <c r="R531" s="53">
        <f t="shared" si="91"/>
        <v>53.668919320573728</v>
      </c>
      <c r="S531" s="52">
        <v>35</v>
      </c>
    </row>
    <row r="532" spans="1:19">
      <c r="A532" s="3">
        <f t="shared" si="86"/>
        <v>45</v>
      </c>
      <c r="B532" s="3">
        <f t="shared" si="94"/>
        <v>530</v>
      </c>
      <c r="C532" s="40">
        <f t="shared" si="87"/>
        <v>13549607334.625124</v>
      </c>
      <c r="D532" s="41">
        <f>'System Assumptions'!$E$11/12</f>
        <v>75242280</v>
      </c>
      <c r="E532" s="41">
        <f>-'System Assumptions'!$E$10/12</f>
        <v>-133627000</v>
      </c>
      <c r="F532" s="41">
        <f>IF(I531&lt;'System Assumptions'!$E$29,'Hydrological Data Model'!$E$33/12,'Hydrological Data Model'!$E$33/12)</f>
        <v>183636903.52495179</v>
      </c>
      <c r="G532" s="42">
        <f>IF(I531&lt;'System Assumptions'!$E$29,0,-(MIN('Hydrological Data Model'!$E$34,'Hydrological Data Model'!$E$33-'System Assumptions'!$E$12))/12)</f>
        <v>-125252183.52495177</v>
      </c>
      <c r="H532" s="42">
        <f t="shared" si="92"/>
        <v>13549607334.625124</v>
      </c>
      <c r="I532" s="106">
        <f>H532/'System Assumptions'!$F$15</f>
        <v>15.252270619126433</v>
      </c>
      <c r="J532" s="42">
        <f>'System Assumptions'!$E$30+'System Assumptions'!$E$28-'Data Model Calculations'!I532</f>
        <v>64.501329380873571</v>
      </c>
      <c r="K532" s="45">
        <f t="shared" si="88"/>
        <v>53.668919320573728</v>
      </c>
      <c r="L532" s="46">
        <f t="shared" si="89"/>
        <v>727192782867449.88</v>
      </c>
      <c r="M532" s="47">
        <f>D532/1000*('System Assumptions'!$F$20*1000000)</f>
        <v>276691425000.00018</v>
      </c>
      <c r="N532" s="48"/>
      <c r="O532" s="49">
        <f>(F532/1000)*('System Assumptions'!$F$21*1000000)</f>
        <v>6427291623373.3125</v>
      </c>
      <c r="P532" s="49">
        <f t="shared" si="93"/>
        <v>-6722149332326.3301</v>
      </c>
      <c r="Q532" s="48">
        <f t="shared" si="90"/>
        <v>727174616583496.88</v>
      </c>
      <c r="R532" s="53">
        <f t="shared" si="91"/>
        <v>53.667578596558315</v>
      </c>
      <c r="S532" s="52">
        <v>35</v>
      </c>
    </row>
    <row r="533" spans="1:19">
      <c r="A533" s="3">
        <f t="shared" si="86"/>
        <v>45</v>
      </c>
      <c r="B533" s="3">
        <f t="shared" si="94"/>
        <v>531</v>
      </c>
      <c r="C533" s="40">
        <f t="shared" si="87"/>
        <v>13549607334.625124</v>
      </c>
      <c r="D533" s="41">
        <f>'System Assumptions'!$E$11/12</f>
        <v>75242280</v>
      </c>
      <c r="E533" s="41">
        <f>-'System Assumptions'!$E$10/12</f>
        <v>-133627000</v>
      </c>
      <c r="F533" s="41">
        <f>IF(I532&lt;'System Assumptions'!$E$29,'Hydrological Data Model'!$E$33/12,'Hydrological Data Model'!$E$33/12)</f>
        <v>183636903.52495179</v>
      </c>
      <c r="G533" s="42">
        <f>IF(I532&lt;'System Assumptions'!$E$29,0,-(MIN('Hydrological Data Model'!$E$34,'Hydrological Data Model'!$E$33-'System Assumptions'!$E$12))/12)</f>
        <v>-125252183.52495177</v>
      </c>
      <c r="H533" s="42">
        <f t="shared" si="92"/>
        <v>13549607334.625124</v>
      </c>
      <c r="I533" s="106">
        <f>H533/'System Assumptions'!$F$15</f>
        <v>15.252270619126433</v>
      </c>
      <c r="J533" s="42">
        <f>'System Assumptions'!$E$30+'System Assumptions'!$E$28-'Data Model Calculations'!I533</f>
        <v>64.501329380873571</v>
      </c>
      <c r="K533" s="45">
        <f t="shared" si="88"/>
        <v>53.667578596558315</v>
      </c>
      <c r="L533" s="46">
        <f t="shared" si="89"/>
        <v>727174616583496.88</v>
      </c>
      <c r="M533" s="47">
        <f>D533/1000*('System Assumptions'!$F$20*1000000)</f>
        <v>276691425000.00018</v>
      </c>
      <c r="N533" s="48"/>
      <c r="O533" s="49">
        <f>(F533/1000)*('System Assumptions'!$F$21*1000000)</f>
        <v>6427291623373.3125</v>
      </c>
      <c r="P533" s="49">
        <f t="shared" si="93"/>
        <v>-6721981403715.8945</v>
      </c>
      <c r="Q533" s="48">
        <f t="shared" si="90"/>
        <v>727156618228154.38</v>
      </c>
      <c r="R533" s="53">
        <f t="shared" si="91"/>
        <v>53.666250266157441</v>
      </c>
      <c r="S533" s="52">
        <v>35</v>
      </c>
    </row>
    <row r="534" spans="1:19">
      <c r="A534" s="3">
        <f t="shared" si="86"/>
        <v>45</v>
      </c>
      <c r="B534" s="3">
        <f t="shared" si="94"/>
        <v>532</v>
      </c>
      <c r="C534" s="40">
        <f t="shared" si="87"/>
        <v>13549607334.625124</v>
      </c>
      <c r="D534" s="41">
        <f>'System Assumptions'!$E$11/12</f>
        <v>75242280</v>
      </c>
      <c r="E534" s="41">
        <f>-'System Assumptions'!$E$10/12</f>
        <v>-133627000</v>
      </c>
      <c r="F534" s="41">
        <f>IF(I533&lt;'System Assumptions'!$E$29,'Hydrological Data Model'!$E$33/12,'Hydrological Data Model'!$E$33/12)</f>
        <v>183636903.52495179</v>
      </c>
      <c r="G534" s="42">
        <f>IF(I533&lt;'System Assumptions'!$E$29,0,-(MIN('Hydrological Data Model'!$E$34,'Hydrological Data Model'!$E$33-'System Assumptions'!$E$12))/12)</f>
        <v>-125252183.52495177</v>
      </c>
      <c r="H534" s="42">
        <f t="shared" si="92"/>
        <v>13549607334.625124</v>
      </c>
      <c r="I534" s="106">
        <f>H534/'System Assumptions'!$F$15</f>
        <v>15.252270619126433</v>
      </c>
      <c r="J534" s="42">
        <f>'System Assumptions'!$E$30+'System Assumptions'!$E$28-'Data Model Calculations'!I534</f>
        <v>64.501329380873571</v>
      </c>
      <c r="K534" s="45">
        <f t="shared" si="88"/>
        <v>53.666250266157441</v>
      </c>
      <c r="L534" s="46">
        <f t="shared" si="89"/>
        <v>727156618228154.38</v>
      </c>
      <c r="M534" s="47">
        <f>D534/1000*('System Assumptions'!$F$20*1000000)</f>
        <v>276691425000.00018</v>
      </c>
      <c r="N534" s="48"/>
      <c r="O534" s="49">
        <f>(F534/1000)*('System Assumptions'!$F$21*1000000)</f>
        <v>6427291623373.3125</v>
      </c>
      <c r="P534" s="49">
        <f t="shared" si="93"/>
        <v>-6721815027432.7432</v>
      </c>
      <c r="Q534" s="48">
        <f t="shared" si="90"/>
        <v>727138786249095</v>
      </c>
      <c r="R534" s="53">
        <f t="shared" si="91"/>
        <v>53.664934214804887</v>
      </c>
      <c r="S534" s="52">
        <v>35</v>
      </c>
    </row>
    <row r="535" spans="1:19">
      <c r="A535" s="3">
        <f t="shared" si="86"/>
        <v>45</v>
      </c>
      <c r="B535" s="3">
        <f t="shared" si="94"/>
        <v>533</v>
      </c>
      <c r="C535" s="40">
        <f t="shared" si="87"/>
        <v>13549607334.625124</v>
      </c>
      <c r="D535" s="41">
        <f>'System Assumptions'!$E$11/12</f>
        <v>75242280</v>
      </c>
      <c r="E535" s="41">
        <f>-'System Assumptions'!$E$10/12</f>
        <v>-133627000</v>
      </c>
      <c r="F535" s="41">
        <f>IF(I534&lt;'System Assumptions'!$E$29,'Hydrological Data Model'!$E$33/12,'Hydrological Data Model'!$E$33/12)</f>
        <v>183636903.52495179</v>
      </c>
      <c r="G535" s="42">
        <f>IF(I534&lt;'System Assumptions'!$E$29,0,-(MIN('Hydrological Data Model'!$E$34,'Hydrological Data Model'!$E$33-'System Assumptions'!$E$12))/12)</f>
        <v>-125252183.52495177</v>
      </c>
      <c r="H535" s="42">
        <f t="shared" si="92"/>
        <v>13549607334.625124</v>
      </c>
      <c r="I535" s="106">
        <f>H535/'System Assumptions'!$F$15</f>
        <v>15.252270619126433</v>
      </c>
      <c r="J535" s="42">
        <f>'System Assumptions'!$E$30+'System Assumptions'!$E$28-'Data Model Calculations'!I535</f>
        <v>64.501329380873571</v>
      </c>
      <c r="K535" s="45">
        <f t="shared" si="88"/>
        <v>53.664934214804887</v>
      </c>
      <c r="L535" s="46">
        <f t="shared" si="89"/>
        <v>727138786249095</v>
      </c>
      <c r="M535" s="47">
        <f>D535/1000*('System Assumptions'!$F$20*1000000)</f>
        <v>276691425000.00018</v>
      </c>
      <c r="N535" s="48"/>
      <c r="O535" s="49">
        <f>(F535/1000)*('System Assumptions'!$F$21*1000000)</f>
        <v>6427291623373.3125</v>
      </c>
      <c r="P535" s="49">
        <f t="shared" si="93"/>
        <v>-6721650189127.2051</v>
      </c>
      <c r="Q535" s="48">
        <f t="shared" si="90"/>
        <v>727121119108341</v>
      </c>
      <c r="R535" s="53">
        <f t="shared" si="91"/>
        <v>53.663630328993456</v>
      </c>
      <c r="S535" s="52">
        <v>35</v>
      </c>
    </row>
    <row r="536" spans="1:19">
      <c r="A536" s="3">
        <f t="shared" si="86"/>
        <v>45</v>
      </c>
      <c r="B536" s="3">
        <f t="shared" si="94"/>
        <v>534</v>
      </c>
      <c r="C536" s="40">
        <f t="shared" si="87"/>
        <v>13549607334.625124</v>
      </c>
      <c r="D536" s="41">
        <f>'System Assumptions'!$E$11/12</f>
        <v>75242280</v>
      </c>
      <c r="E536" s="41">
        <f>-'System Assumptions'!$E$10/12</f>
        <v>-133627000</v>
      </c>
      <c r="F536" s="41">
        <f>IF(I535&lt;'System Assumptions'!$E$29,'Hydrological Data Model'!$E$33/12,'Hydrological Data Model'!$E$33/12)</f>
        <v>183636903.52495179</v>
      </c>
      <c r="G536" s="42">
        <f>IF(I535&lt;'System Assumptions'!$E$29,0,-(MIN('Hydrological Data Model'!$E$34,'Hydrological Data Model'!$E$33-'System Assumptions'!$E$12))/12)</f>
        <v>-125252183.52495177</v>
      </c>
      <c r="H536" s="42">
        <f t="shared" si="92"/>
        <v>13549607334.625124</v>
      </c>
      <c r="I536" s="106">
        <f>H536/'System Assumptions'!$F$15</f>
        <v>15.252270619126433</v>
      </c>
      <c r="J536" s="42">
        <f>'System Assumptions'!$E$30+'System Assumptions'!$E$28-'Data Model Calculations'!I536</f>
        <v>64.501329380873571</v>
      </c>
      <c r="K536" s="45">
        <f t="shared" si="88"/>
        <v>53.663630328993456</v>
      </c>
      <c r="L536" s="46">
        <f t="shared" si="89"/>
        <v>727121119108341</v>
      </c>
      <c r="M536" s="47">
        <f>D536/1000*('System Assumptions'!$F$20*1000000)</f>
        <v>276691425000.00018</v>
      </c>
      <c r="N536" s="48"/>
      <c r="O536" s="49">
        <f>(F536/1000)*('System Assumptions'!$F$21*1000000)</f>
        <v>6427291623373.3125</v>
      </c>
      <c r="P536" s="49">
        <f t="shared" si="93"/>
        <v>-6721486874582.2559</v>
      </c>
      <c r="Q536" s="48">
        <f t="shared" si="90"/>
        <v>727103615282132</v>
      </c>
      <c r="R536" s="53">
        <f t="shared" si="91"/>
        <v>53.662338496265264</v>
      </c>
      <c r="S536" s="52">
        <v>35</v>
      </c>
    </row>
    <row r="537" spans="1:19">
      <c r="A537" s="3">
        <f t="shared" si="86"/>
        <v>45</v>
      </c>
      <c r="B537" s="3">
        <f t="shared" si="94"/>
        <v>535</v>
      </c>
      <c r="C537" s="40">
        <f t="shared" si="87"/>
        <v>13549607334.625124</v>
      </c>
      <c r="D537" s="41">
        <f>'System Assumptions'!$E$11/12</f>
        <v>75242280</v>
      </c>
      <c r="E537" s="41">
        <f>-'System Assumptions'!$E$10/12</f>
        <v>-133627000</v>
      </c>
      <c r="F537" s="41">
        <f>IF(I536&lt;'System Assumptions'!$E$29,'Hydrological Data Model'!$E$33/12,'Hydrological Data Model'!$E$33/12)</f>
        <v>183636903.52495179</v>
      </c>
      <c r="G537" s="42">
        <f>IF(I536&lt;'System Assumptions'!$E$29,0,-(MIN('Hydrological Data Model'!$E$34,'Hydrological Data Model'!$E$33-'System Assumptions'!$E$12))/12)</f>
        <v>-125252183.52495177</v>
      </c>
      <c r="H537" s="42">
        <f t="shared" si="92"/>
        <v>13549607334.625124</v>
      </c>
      <c r="I537" s="106">
        <f>H537/'System Assumptions'!$F$15</f>
        <v>15.252270619126433</v>
      </c>
      <c r="J537" s="42">
        <f>'System Assumptions'!$E$30+'System Assumptions'!$E$28-'Data Model Calculations'!I537</f>
        <v>64.501329380873571</v>
      </c>
      <c r="K537" s="45">
        <f t="shared" si="88"/>
        <v>53.662338496265264</v>
      </c>
      <c r="L537" s="46">
        <f t="shared" si="89"/>
        <v>727103615282132</v>
      </c>
      <c r="M537" s="47">
        <f>D537/1000*('System Assumptions'!$F$20*1000000)</f>
        <v>276691425000.00018</v>
      </c>
      <c r="N537" s="48"/>
      <c r="O537" s="49">
        <f>(F537/1000)*('System Assumptions'!$F$21*1000000)</f>
        <v>6427291623373.3125</v>
      </c>
      <c r="P537" s="49">
        <f t="shared" si="93"/>
        <v>-6721325069712.3008</v>
      </c>
      <c r="Q537" s="48">
        <f t="shared" si="90"/>
        <v>727086273260793</v>
      </c>
      <c r="R537" s="53">
        <f t="shared" si="91"/>
        <v>53.661058605201951</v>
      </c>
      <c r="S537" s="52">
        <v>35</v>
      </c>
    </row>
    <row r="538" spans="1:19">
      <c r="A538" s="3">
        <f t="shared" si="86"/>
        <v>45</v>
      </c>
      <c r="B538" s="3">
        <f t="shared" si="94"/>
        <v>536</v>
      </c>
      <c r="C538" s="40">
        <f t="shared" si="87"/>
        <v>13549607334.625124</v>
      </c>
      <c r="D538" s="41">
        <f>'System Assumptions'!$E$11/12</f>
        <v>75242280</v>
      </c>
      <c r="E538" s="41">
        <f>-'System Assumptions'!$E$10/12</f>
        <v>-133627000</v>
      </c>
      <c r="F538" s="41">
        <f>IF(I537&lt;'System Assumptions'!$E$29,'Hydrological Data Model'!$E$33/12,'Hydrological Data Model'!$E$33/12)</f>
        <v>183636903.52495179</v>
      </c>
      <c r="G538" s="42">
        <f>IF(I537&lt;'System Assumptions'!$E$29,0,-(MIN('Hydrological Data Model'!$E$34,'Hydrological Data Model'!$E$33-'System Assumptions'!$E$12))/12)</f>
        <v>-125252183.52495177</v>
      </c>
      <c r="H538" s="42">
        <f t="shared" si="92"/>
        <v>13549607334.625124</v>
      </c>
      <c r="I538" s="106">
        <f>H538/'System Assumptions'!$F$15</f>
        <v>15.252270619126433</v>
      </c>
      <c r="J538" s="42">
        <f>'System Assumptions'!$E$30+'System Assumptions'!$E$28-'Data Model Calculations'!I538</f>
        <v>64.501329380873571</v>
      </c>
      <c r="K538" s="45">
        <f t="shared" si="88"/>
        <v>53.661058605201951</v>
      </c>
      <c r="L538" s="46">
        <f t="shared" si="89"/>
        <v>727086273260793</v>
      </c>
      <c r="M538" s="47">
        <f>D538/1000*('System Assumptions'!$F$20*1000000)</f>
        <v>276691425000.00018</v>
      </c>
      <c r="N538" s="48"/>
      <c r="O538" s="49">
        <f>(F538/1000)*('System Assumptions'!$F$21*1000000)</f>
        <v>6427291623373.3125</v>
      </c>
      <c r="P538" s="49">
        <f t="shared" si="93"/>
        <v>-6721164760561.9473</v>
      </c>
      <c r="Q538" s="48">
        <f t="shared" si="90"/>
        <v>727069091548604.25</v>
      </c>
      <c r="R538" s="53">
        <f t="shared" si="91"/>
        <v>53.659790545415099</v>
      </c>
      <c r="S538" s="52">
        <v>35</v>
      </c>
    </row>
    <row r="539" spans="1:19">
      <c r="A539" s="3">
        <f t="shared" si="86"/>
        <v>45</v>
      </c>
      <c r="B539" s="3">
        <f t="shared" si="94"/>
        <v>537</v>
      </c>
      <c r="C539" s="40">
        <f t="shared" si="87"/>
        <v>13549607334.625124</v>
      </c>
      <c r="D539" s="41">
        <f>'System Assumptions'!$E$11/12</f>
        <v>75242280</v>
      </c>
      <c r="E539" s="41">
        <f>-'System Assumptions'!$E$10/12</f>
        <v>-133627000</v>
      </c>
      <c r="F539" s="41">
        <f>IF(I538&lt;'System Assumptions'!$E$29,'Hydrological Data Model'!$E$33/12,'Hydrological Data Model'!$E$33/12)</f>
        <v>183636903.52495179</v>
      </c>
      <c r="G539" s="42">
        <f>IF(I538&lt;'System Assumptions'!$E$29,0,-(MIN('Hydrological Data Model'!$E$34,'Hydrological Data Model'!$E$33-'System Assumptions'!$E$12))/12)</f>
        <v>-125252183.52495177</v>
      </c>
      <c r="H539" s="42">
        <f t="shared" si="92"/>
        <v>13549607334.625124</v>
      </c>
      <c r="I539" s="106">
        <f>H539/'System Assumptions'!$F$15</f>
        <v>15.252270619126433</v>
      </c>
      <c r="J539" s="42">
        <f>'System Assumptions'!$E$30+'System Assumptions'!$E$28-'Data Model Calculations'!I539</f>
        <v>64.501329380873571</v>
      </c>
      <c r="K539" s="45">
        <f t="shared" si="88"/>
        <v>53.659790545415099</v>
      </c>
      <c r="L539" s="46">
        <f t="shared" si="89"/>
        <v>727069091548604.25</v>
      </c>
      <c r="M539" s="47">
        <f>D539/1000*('System Assumptions'!$F$20*1000000)</f>
        <v>276691425000.00018</v>
      </c>
      <c r="N539" s="48"/>
      <c r="O539" s="49">
        <f>(F539/1000)*('System Assumptions'!$F$21*1000000)</f>
        <v>6427291623373.3125</v>
      </c>
      <c r="P539" s="49">
        <f t="shared" si="93"/>
        <v>-6721005933304.8037</v>
      </c>
      <c r="Q539" s="48">
        <f t="shared" si="90"/>
        <v>727052068663672.75</v>
      </c>
      <c r="R539" s="53">
        <f t="shared" si="91"/>
        <v>53.658534207536725</v>
      </c>
      <c r="S539" s="52">
        <v>35</v>
      </c>
    </row>
    <row r="540" spans="1:19">
      <c r="A540" s="3">
        <f t="shared" si="86"/>
        <v>45</v>
      </c>
      <c r="B540" s="3">
        <f t="shared" si="94"/>
        <v>538</v>
      </c>
      <c r="C540" s="40">
        <f t="shared" si="87"/>
        <v>13549607334.625124</v>
      </c>
      <c r="D540" s="41">
        <f>'System Assumptions'!$E$11/12</f>
        <v>75242280</v>
      </c>
      <c r="E540" s="41">
        <f>-'System Assumptions'!$E$10/12</f>
        <v>-133627000</v>
      </c>
      <c r="F540" s="41">
        <f>IF(I539&lt;'System Assumptions'!$E$29,'Hydrological Data Model'!$E$33/12,'Hydrological Data Model'!$E$33/12)</f>
        <v>183636903.52495179</v>
      </c>
      <c r="G540" s="42">
        <f>IF(I539&lt;'System Assumptions'!$E$29,0,-(MIN('Hydrological Data Model'!$E$34,'Hydrological Data Model'!$E$33-'System Assumptions'!$E$12))/12)</f>
        <v>-125252183.52495177</v>
      </c>
      <c r="H540" s="42">
        <f t="shared" si="92"/>
        <v>13549607334.625124</v>
      </c>
      <c r="I540" s="106">
        <f>H540/'System Assumptions'!$F$15</f>
        <v>15.252270619126433</v>
      </c>
      <c r="J540" s="42">
        <f>'System Assumptions'!$E$30+'System Assumptions'!$E$28-'Data Model Calculations'!I540</f>
        <v>64.501329380873571</v>
      </c>
      <c r="K540" s="45">
        <f t="shared" si="88"/>
        <v>53.658534207536725</v>
      </c>
      <c r="L540" s="46">
        <f t="shared" si="89"/>
        <v>727052068663672.75</v>
      </c>
      <c r="M540" s="47">
        <f>D540/1000*('System Assumptions'!$F$20*1000000)</f>
        <v>276691425000.00018</v>
      </c>
      <c r="N540" s="48"/>
      <c r="O540" s="49">
        <f>(F540/1000)*('System Assumptions'!$F$21*1000000)</f>
        <v>6427291623373.3125</v>
      </c>
      <c r="P540" s="49">
        <f t="shared" si="93"/>
        <v>-6720848574242.292</v>
      </c>
      <c r="Q540" s="48">
        <f t="shared" si="90"/>
        <v>727035203137803.75</v>
      </c>
      <c r="R540" s="53">
        <f t="shared" si="91"/>
        <v>53.657289483209851</v>
      </c>
      <c r="S540" s="52">
        <v>35</v>
      </c>
    </row>
    <row r="541" spans="1:19">
      <c r="A541" s="3">
        <f t="shared" si="86"/>
        <v>45</v>
      </c>
      <c r="B541" s="3">
        <f t="shared" si="94"/>
        <v>539</v>
      </c>
      <c r="C541" s="40">
        <f t="shared" si="87"/>
        <v>13549607334.625124</v>
      </c>
      <c r="D541" s="41">
        <f>'System Assumptions'!$E$11/12</f>
        <v>75242280</v>
      </c>
      <c r="E541" s="41">
        <f>-'System Assumptions'!$E$10/12</f>
        <v>-133627000</v>
      </c>
      <c r="F541" s="41">
        <f>IF(I540&lt;'System Assumptions'!$E$29,'Hydrological Data Model'!$E$33/12,'Hydrological Data Model'!$E$33/12)</f>
        <v>183636903.52495179</v>
      </c>
      <c r="G541" s="42">
        <f>IF(I540&lt;'System Assumptions'!$E$29,0,-(MIN('Hydrological Data Model'!$E$34,'Hydrological Data Model'!$E$33-'System Assumptions'!$E$12))/12)</f>
        <v>-125252183.52495177</v>
      </c>
      <c r="H541" s="42">
        <f t="shared" si="92"/>
        <v>13549607334.625124</v>
      </c>
      <c r="I541" s="106">
        <f>H541/'System Assumptions'!$F$15</f>
        <v>15.252270619126433</v>
      </c>
      <c r="J541" s="42">
        <f>'System Assumptions'!$E$30+'System Assumptions'!$E$28-'Data Model Calculations'!I541</f>
        <v>64.501329380873571</v>
      </c>
      <c r="K541" s="45">
        <f t="shared" si="88"/>
        <v>53.657289483209851</v>
      </c>
      <c r="L541" s="46">
        <f t="shared" si="89"/>
        <v>727035203137803.75</v>
      </c>
      <c r="M541" s="47">
        <f>D541/1000*('System Assumptions'!$F$20*1000000)</f>
        <v>276691425000.00018</v>
      </c>
      <c r="N541" s="48"/>
      <c r="O541" s="49">
        <f>(F541/1000)*('System Assumptions'!$F$21*1000000)</f>
        <v>6427291623373.3125</v>
      </c>
      <c r="P541" s="49">
        <f t="shared" si="93"/>
        <v>-6720692669802.4648</v>
      </c>
      <c r="Q541" s="48">
        <f t="shared" si="90"/>
        <v>727018493516374.5</v>
      </c>
      <c r="R541" s="53">
        <f t="shared" si="91"/>
        <v>53.65605626507913</v>
      </c>
      <c r="S541" s="52">
        <v>35</v>
      </c>
    </row>
    <row r="542" spans="1:19">
      <c r="A542" s="3">
        <f t="shared" si="86"/>
        <v>45</v>
      </c>
      <c r="B542" s="3">
        <f t="shared" si="94"/>
        <v>540</v>
      </c>
      <c r="C542" s="40">
        <f t="shared" si="87"/>
        <v>13549607334.625124</v>
      </c>
      <c r="D542" s="41">
        <f>'System Assumptions'!$E$11/12</f>
        <v>75242280</v>
      </c>
      <c r="E542" s="41">
        <f>-'System Assumptions'!$E$10/12</f>
        <v>-133627000</v>
      </c>
      <c r="F542" s="41">
        <f>IF(I541&lt;'System Assumptions'!$E$29,'Hydrological Data Model'!$E$33/12,'Hydrological Data Model'!$E$33/12)</f>
        <v>183636903.52495179</v>
      </c>
      <c r="G542" s="42">
        <f>IF(I541&lt;'System Assumptions'!$E$29,0,-(MIN('Hydrological Data Model'!$E$34,'Hydrological Data Model'!$E$33-'System Assumptions'!$E$12))/12)</f>
        <v>-125252183.52495177</v>
      </c>
      <c r="H542" s="42">
        <f t="shared" si="92"/>
        <v>13549607334.625124</v>
      </c>
      <c r="I542" s="106">
        <f>H542/'System Assumptions'!$F$15</f>
        <v>15.252270619126433</v>
      </c>
      <c r="J542" s="42">
        <f>'System Assumptions'!$E$30+'System Assumptions'!$E$28-'Data Model Calculations'!I542</f>
        <v>64.501329380873571</v>
      </c>
      <c r="K542" s="45">
        <f t="shared" si="88"/>
        <v>53.65605626507913</v>
      </c>
      <c r="L542" s="46">
        <f t="shared" si="89"/>
        <v>727018493516374.5</v>
      </c>
      <c r="M542" s="47">
        <f>D542/1000*('System Assumptions'!$F$20*1000000)</f>
        <v>276691425000.00018</v>
      </c>
      <c r="N542" s="48"/>
      <c r="O542" s="49">
        <f>(F542/1000)*('System Assumptions'!$F$21*1000000)</f>
        <v>6427291623373.3125</v>
      </c>
      <c r="P542" s="49">
        <f t="shared" si="93"/>
        <v>-6720538206538.8291</v>
      </c>
      <c r="Q542" s="48">
        <f t="shared" si="90"/>
        <v>727001938358208.88</v>
      </c>
      <c r="R542" s="53">
        <f t="shared" si="91"/>
        <v>53.654834446781614</v>
      </c>
      <c r="S542" s="52">
        <v>35</v>
      </c>
    </row>
    <row r="543" spans="1:19">
      <c r="A543" s="3">
        <f t="shared" si="86"/>
        <v>46</v>
      </c>
      <c r="B543" s="3">
        <f t="shared" si="94"/>
        <v>541</v>
      </c>
      <c r="C543" s="40">
        <f t="shared" si="87"/>
        <v>13549607334.625124</v>
      </c>
      <c r="D543" s="41">
        <f>'System Assumptions'!$E$11/12</f>
        <v>75242280</v>
      </c>
      <c r="E543" s="41">
        <f>-'System Assumptions'!$E$10/12</f>
        <v>-133627000</v>
      </c>
      <c r="F543" s="41">
        <f>IF(I542&lt;'System Assumptions'!$E$29,'Hydrological Data Model'!$E$33/12,'Hydrological Data Model'!$E$33/12)</f>
        <v>183636903.52495179</v>
      </c>
      <c r="G543" s="42">
        <f>IF(I542&lt;'System Assumptions'!$E$29,0,-(MIN('Hydrological Data Model'!$E$34,'Hydrological Data Model'!$E$33-'System Assumptions'!$E$12))/12)</f>
        <v>-125252183.52495177</v>
      </c>
      <c r="H543" s="42">
        <f t="shared" si="92"/>
        <v>13549607334.625124</v>
      </c>
      <c r="I543" s="106">
        <f>H543/'System Assumptions'!$F$15</f>
        <v>15.252270619126433</v>
      </c>
      <c r="J543" s="42">
        <f>'System Assumptions'!$E$30+'System Assumptions'!$E$28-'Data Model Calculations'!I543</f>
        <v>64.501329380873571</v>
      </c>
      <c r="K543" s="45">
        <f t="shared" si="88"/>
        <v>53.654834446781614</v>
      </c>
      <c r="L543" s="46">
        <f t="shared" si="89"/>
        <v>727001938358208.88</v>
      </c>
      <c r="M543" s="47">
        <f>D543/1000*('System Assumptions'!$F$20*1000000)</f>
        <v>276691425000.00018</v>
      </c>
      <c r="N543" s="48"/>
      <c r="O543" s="49">
        <f>(F543/1000)*('System Assumptions'!$F$21*1000000)</f>
        <v>6427291623373.3125</v>
      </c>
      <c r="P543" s="49">
        <f t="shared" si="93"/>
        <v>-6720385171129.1953</v>
      </c>
      <c r="Q543" s="48">
        <f t="shared" si="90"/>
        <v>726985536235453</v>
      </c>
      <c r="R543" s="53">
        <f t="shared" si="91"/>
        <v>53.653623922937584</v>
      </c>
      <c r="S543" s="52">
        <v>35</v>
      </c>
    </row>
    <row r="544" spans="1:19">
      <c r="A544" s="3">
        <f t="shared" si="86"/>
        <v>46</v>
      </c>
      <c r="B544" s="3">
        <f t="shared" si="94"/>
        <v>542</v>
      </c>
      <c r="C544" s="40">
        <f t="shared" si="87"/>
        <v>13549607334.625124</v>
      </c>
      <c r="D544" s="41">
        <f>'System Assumptions'!$E$11/12</f>
        <v>75242280</v>
      </c>
      <c r="E544" s="41">
        <f>-'System Assumptions'!$E$10/12</f>
        <v>-133627000</v>
      </c>
      <c r="F544" s="41">
        <f>IF(I543&lt;'System Assumptions'!$E$29,'Hydrological Data Model'!$E$33/12,'Hydrological Data Model'!$E$33/12)</f>
        <v>183636903.52495179</v>
      </c>
      <c r="G544" s="42">
        <f>IF(I543&lt;'System Assumptions'!$E$29,0,-(MIN('Hydrological Data Model'!$E$34,'Hydrological Data Model'!$E$33-'System Assumptions'!$E$12))/12)</f>
        <v>-125252183.52495177</v>
      </c>
      <c r="H544" s="42">
        <f t="shared" si="92"/>
        <v>13549607334.625124</v>
      </c>
      <c r="I544" s="106">
        <f>H544/'System Assumptions'!$F$15</f>
        <v>15.252270619126433</v>
      </c>
      <c r="J544" s="42">
        <f>'System Assumptions'!$E$30+'System Assumptions'!$E$28-'Data Model Calculations'!I544</f>
        <v>64.501329380873571</v>
      </c>
      <c r="K544" s="45">
        <f t="shared" si="88"/>
        <v>53.653623922937584</v>
      </c>
      <c r="L544" s="46">
        <f t="shared" si="89"/>
        <v>726985536235453</v>
      </c>
      <c r="M544" s="47">
        <f>D544/1000*('System Assumptions'!$F$20*1000000)</f>
        <v>276691425000.00018</v>
      </c>
      <c r="N544" s="48"/>
      <c r="O544" s="49">
        <f>(F544/1000)*('System Assumptions'!$F$21*1000000)</f>
        <v>6427291623373.3125</v>
      </c>
      <c r="P544" s="49">
        <f t="shared" si="93"/>
        <v>-6720233550374.5215</v>
      </c>
      <c r="Q544" s="48">
        <f t="shared" si="90"/>
        <v>726969285733451.75</v>
      </c>
      <c r="R544" s="53">
        <f t="shared" si="91"/>
        <v>53.652424589141411</v>
      </c>
      <c r="S544" s="52">
        <v>35</v>
      </c>
    </row>
    <row r="545" spans="1:19">
      <c r="A545" s="3">
        <f t="shared" si="86"/>
        <v>46</v>
      </c>
      <c r="B545" s="3">
        <f t="shared" si="94"/>
        <v>543</v>
      </c>
      <c r="C545" s="40">
        <f t="shared" si="87"/>
        <v>13549607334.625124</v>
      </c>
      <c r="D545" s="41">
        <f>'System Assumptions'!$E$11/12</f>
        <v>75242280</v>
      </c>
      <c r="E545" s="41">
        <f>-'System Assumptions'!$E$10/12</f>
        <v>-133627000</v>
      </c>
      <c r="F545" s="41">
        <f>IF(I544&lt;'System Assumptions'!$E$29,'Hydrological Data Model'!$E$33/12,'Hydrological Data Model'!$E$33/12)</f>
        <v>183636903.52495179</v>
      </c>
      <c r="G545" s="42">
        <f>IF(I544&lt;'System Assumptions'!$E$29,0,-(MIN('Hydrological Data Model'!$E$34,'Hydrological Data Model'!$E$33-'System Assumptions'!$E$12))/12)</f>
        <v>-125252183.52495177</v>
      </c>
      <c r="H545" s="42">
        <f t="shared" si="92"/>
        <v>13549607334.625124</v>
      </c>
      <c r="I545" s="106">
        <f>H545/'System Assumptions'!$F$15</f>
        <v>15.252270619126433</v>
      </c>
      <c r="J545" s="42">
        <f>'System Assumptions'!$E$30+'System Assumptions'!$E$28-'Data Model Calculations'!I545</f>
        <v>64.501329380873571</v>
      </c>
      <c r="K545" s="45">
        <f t="shared" si="88"/>
        <v>53.652424589141411</v>
      </c>
      <c r="L545" s="46">
        <f t="shared" si="89"/>
        <v>726969285733451.75</v>
      </c>
      <c r="M545" s="47">
        <f>D545/1000*('System Assumptions'!$F$20*1000000)</f>
        <v>276691425000.00018</v>
      </c>
      <c r="N545" s="48"/>
      <c r="O545" s="49">
        <f>(F545/1000)*('System Assumptions'!$F$21*1000000)</f>
        <v>6427291623373.3125</v>
      </c>
      <c r="P545" s="49">
        <f t="shared" si="93"/>
        <v>-6720083331197.7754</v>
      </c>
      <c r="Q545" s="48">
        <f t="shared" si="90"/>
        <v>726953185450627.25</v>
      </c>
      <c r="R545" s="53">
        <f t="shared" si="91"/>
        <v>53.651236341952618</v>
      </c>
      <c r="S545" s="52">
        <v>35</v>
      </c>
    </row>
    <row r="546" spans="1:19">
      <c r="A546" s="3">
        <f t="shared" si="86"/>
        <v>46</v>
      </c>
      <c r="B546" s="3">
        <f t="shared" si="94"/>
        <v>544</v>
      </c>
      <c r="C546" s="40">
        <f t="shared" si="87"/>
        <v>13549607334.625124</v>
      </c>
      <c r="D546" s="41">
        <f>'System Assumptions'!$E$11/12</f>
        <v>75242280</v>
      </c>
      <c r="E546" s="41">
        <f>-'System Assumptions'!$E$10/12</f>
        <v>-133627000</v>
      </c>
      <c r="F546" s="41">
        <f>IF(I545&lt;'System Assumptions'!$E$29,'Hydrological Data Model'!$E$33/12,'Hydrological Data Model'!$E$33/12)</f>
        <v>183636903.52495179</v>
      </c>
      <c r="G546" s="42">
        <f>IF(I545&lt;'System Assumptions'!$E$29,0,-(MIN('Hydrological Data Model'!$E$34,'Hydrological Data Model'!$E$33-'System Assumptions'!$E$12))/12)</f>
        <v>-125252183.52495177</v>
      </c>
      <c r="H546" s="42">
        <f t="shared" si="92"/>
        <v>13549607334.625124</v>
      </c>
      <c r="I546" s="106">
        <f>H546/'System Assumptions'!$F$15</f>
        <v>15.252270619126433</v>
      </c>
      <c r="J546" s="42">
        <f>'System Assumptions'!$E$30+'System Assumptions'!$E$28-'Data Model Calculations'!I546</f>
        <v>64.501329380873571</v>
      </c>
      <c r="K546" s="45">
        <f t="shared" si="88"/>
        <v>53.651236341952618</v>
      </c>
      <c r="L546" s="46">
        <f t="shared" si="89"/>
        <v>726953185450627.25</v>
      </c>
      <c r="M546" s="47">
        <f>D546/1000*('System Assumptions'!$F$20*1000000)</f>
        <v>276691425000.00018</v>
      </c>
      <c r="N546" s="48"/>
      <c r="O546" s="49">
        <f>(F546/1000)*('System Assumptions'!$F$21*1000000)</f>
        <v>6427291623373.3125</v>
      </c>
      <c r="P546" s="49">
        <f t="shared" si="93"/>
        <v>-6719934500642.8105</v>
      </c>
      <c r="Q546" s="48">
        <f t="shared" si="90"/>
        <v>726937233998357.75</v>
      </c>
      <c r="R546" s="53">
        <f t="shared" si="91"/>
        <v>53.650059078886947</v>
      </c>
      <c r="S546" s="52">
        <v>35</v>
      </c>
    </row>
    <row r="547" spans="1:19">
      <c r="A547" s="3">
        <f t="shared" si="86"/>
        <v>46</v>
      </c>
      <c r="B547" s="3">
        <f t="shared" si="94"/>
        <v>545</v>
      </c>
      <c r="C547" s="40">
        <f t="shared" si="87"/>
        <v>13549607334.625124</v>
      </c>
      <c r="D547" s="41">
        <f>'System Assumptions'!$E$11/12</f>
        <v>75242280</v>
      </c>
      <c r="E547" s="41">
        <f>-'System Assumptions'!$E$10/12</f>
        <v>-133627000</v>
      </c>
      <c r="F547" s="41">
        <f>IF(I546&lt;'System Assumptions'!$E$29,'Hydrological Data Model'!$E$33/12,'Hydrological Data Model'!$E$33/12)</f>
        <v>183636903.52495179</v>
      </c>
      <c r="G547" s="42">
        <f>IF(I546&lt;'System Assumptions'!$E$29,0,-(MIN('Hydrological Data Model'!$E$34,'Hydrological Data Model'!$E$33-'System Assumptions'!$E$12))/12)</f>
        <v>-125252183.52495177</v>
      </c>
      <c r="H547" s="42">
        <f t="shared" si="92"/>
        <v>13549607334.625124</v>
      </c>
      <c r="I547" s="106">
        <f>H547/'System Assumptions'!$F$15</f>
        <v>15.252270619126433</v>
      </c>
      <c r="J547" s="42">
        <f>'System Assumptions'!$E$30+'System Assumptions'!$E$28-'Data Model Calculations'!I547</f>
        <v>64.501329380873571</v>
      </c>
      <c r="K547" s="45">
        <f t="shared" si="88"/>
        <v>53.650059078886947</v>
      </c>
      <c r="L547" s="46">
        <f t="shared" si="89"/>
        <v>726937233998357.75</v>
      </c>
      <c r="M547" s="47">
        <f>D547/1000*('System Assumptions'!$F$20*1000000)</f>
        <v>276691425000.00018</v>
      </c>
      <c r="N547" s="48"/>
      <c r="O547" s="49">
        <f>(F547/1000)*('System Assumptions'!$F$21*1000000)</f>
        <v>6427291623373.3125</v>
      </c>
      <c r="P547" s="49">
        <f t="shared" si="93"/>
        <v>-6719787045873.2529</v>
      </c>
      <c r="Q547" s="48">
        <f t="shared" si="90"/>
        <v>726921430000857.75</v>
      </c>
      <c r="R547" s="53">
        <f t="shared" si="91"/>
        <v>53.648892698407444</v>
      </c>
      <c r="S547" s="52">
        <v>35</v>
      </c>
    </row>
    <row r="548" spans="1:19">
      <c r="A548" s="3">
        <f t="shared" si="86"/>
        <v>46</v>
      </c>
      <c r="B548" s="3">
        <f t="shared" si="94"/>
        <v>546</v>
      </c>
      <c r="C548" s="40">
        <f t="shared" si="87"/>
        <v>13549607334.625124</v>
      </c>
      <c r="D548" s="41">
        <f>'System Assumptions'!$E$11/12</f>
        <v>75242280</v>
      </c>
      <c r="E548" s="41">
        <f>-'System Assumptions'!$E$10/12</f>
        <v>-133627000</v>
      </c>
      <c r="F548" s="41">
        <f>IF(I547&lt;'System Assumptions'!$E$29,'Hydrological Data Model'!$E$33/12,'Hydrological Data Model'!$E$33/12)</f>
        <v>183636903.52495179</v>
      </c>
      <c r="G548" s="42">
        <f>IF(I547&lt;'System Assumptions'!$E$29,0,-(MIN('Hydrological Data Model'!$E$34,'Hydrological Data Model'!$E$33-'System Assumptions'!$E$12))/12)</f>
        <v>-125252183.52495177</v>
      </c>
      <c r="H548" s="42">
        <f t="shared" si="92"/>
        <v>13549607334.625124</v>
      </c>
      <c r="I548" s="106">
        <f>H548/'System Assumptions'!$F$15</f>
        <v>15.252270619126433</v>
      </c>
      <c r="J548" s="42">
        <f>'System Assumptions'!$E$30+'System Assumptions'!$E$28-'Data Model Calculations'!I548</f>
        <v>64.501329380873571</v>
      </c>
      <c r="K548" s="45">
        <f t="shared" si="88"/>
        <v>53.648892698407444</v>
      </c>
      <c r="L548" s="46">
        <f t="shared" si="89"/>
        <v>726921430000857.75</v>
      </c>
      <c r="M548" s="47">
        <f>D548/1000*('System Assumptions'!$F$20*1000000)</f>
        <v>276691425000.00018</v>
      </c>
      <c r="N548" s="48"/>
      <c r="O548" s="49">
        <f>(F548/1000)*('System Assumptions'!$F$21*1000000)</f>
        <v>6427291623373.3125</v>
      </c>
      <c r="P548" s="49">
        <f t="shared" si="93"/>
        <v>-6719640954171.374</v>
      </c>
      <c r="Q548" s="48">
        <f t="shared" si="90"/>
        <v>726905772095059.63</v>
      </c>
      <c r="R548" s="53">
        <f t="shared" si="91"/>
        <v>53.647737099915808</v>
      </c>
      <c r="S548" s="52">
        <v>35</v>
      </c>
    </row>
    <row r="549" spans="1:19">
      <c r="A549" s="3">
        <f t="shared" si="86"/>
        <v>46</v>
      </c>
      <c r="B549" s="3">
        <f t="shared" si="94"/>
        <v>547</v>
      </c>
      <c r="C549" s="40">
        <f t="shared" si="87"/>
        <v>13549607334.625124</v>
      </c>
      <c r="D549" s="41">
        <f>'System Assumptions'!$E$11/12</f>
        <v>75242280</v>
      </c>
      <c r="E549" s="41">
        <f>-'System Assumptions'!$E$10/12</f>
        <v>-133627000</v>
      </c>
      <c r="F549" s="41">
        <f>IF(I548&lt;'System Assumptions'!$E$29,'Hydrological Data Model'!$E$33/12,'Hydrological Data Model'!$E$33/12)</f>
        <v>183636903.52495179</v>
      </c>
      <c r="G549" s="42">
        <f>IF(I548&lt;'System Assumptions'!$E$29,0,-(MIN('Hydrological Data Model'!$E$34,'Hydrological Data Model'!$E$33-'System Assumptions'!$E$12))/12)</f>
        <v>-125252183.52495177</v>
      </c>
      <c r="H549" s="42">
        <f t="shared" si="92"/>
        <v>13549607334.625124</v>
      </c>
      <c r="I549" s="106">
        <f>H549/'System Assumptions'!$F$15</f>
        <v>15.252270619126433</v>
      </c>
      <c r="J549" s="42">
        <f>'System Assumptions'!$E$30+'System Assumptions'!$E$28-'Data Model Calculations'!I549</f>
        <v>64.501329380873571</v>
      </c>
      <c r="K549" s="45">
        <f t="shared" si="88"/>
        <v>53.647737099915808</v>
      </c>
      <c r="L549" s="46">
        <f t="shared" si="89"/>
        <v>726905772095059.63</v>
      </c>
      <c r="M549" s="47">
        <f>D549/1000*('System Assumptions'!$F$20*1000000)</f>
        <v>276691425000.00018</v>
      </c>
      <c r="N549" s="48"/>
      <c r="O549" s="49">
        <f>(F549/1000)*('System Assumptions'!$F$21*1000000)</f>
        <v>6427291623373.3125</v>
      </c>
      <c r="P549" s="49">
        <f t="shared" si="93"/>
        <v>-6719496212937.0176</v>
      </c>
      <c r="Q549" s="48">
        <f t="shared" si="90"/>
        <v>726890258930496</v>
      </c>
      <c r="R549" s="53">
        <f t="shared" si="91"/>
        <v>53.646592183743664</v>
      </c>
      <c r="S549" s="52">
        <v>35</v>
      </c>
    </row>
    <row r="550" spans="1:19">
      <c r="A550" s="3">
        <f t="shared" si="86"/>
        <v>46</v>
      </c>
      <c r="B550" s="3">
        <f t="shared" si="94"/>
        <v>548</v>
      </c>
      <c r="C550" s="40">
        <f t="shared" si="87"/>
        <v>13549607334.625124</v>
      </c>
      <c r="D550" s="41">
        <f>'System Assumptions'!$E$11/12</f>
        <v>75242280</v>
      </c>
      <c r="E550" s="41">
        <f>-'System Assumptions'!$E$10/12</f>
        <v>-133627000</v>
      </c>
      <c r="F550" s="41">
        <f>IF(I549&lt;'System Assumptions'!$E$29,'Hydrological Data Model'!$E$33/12,'Hydrological Data Model'!$E$33/12)</f>
        <v>183636903.52495179</v>
      </c>
      <c r="G550" s="42">
        <f>IF(I549&lt;'System Assumptions'!$E$29,0,-(MIN('Hydrological Data Model'!$E$34,'Hydrological Data Model'!$E$33-'System Assumptions'!$E$12))/12)</f>
        <v>-125252183.52495177</v>
      </c>
      <c r="H550" s="42">
        <f t="shared" si="92"/>
        <v>13549607334.625124</v>
      </c>
      <c r="I550" s="106">
        <f>H550/'System Assumptions'!$F$15</f>
        <v>15.252270619126433</v>
      </c>
      <c r="J550" s="42">
        <f>'System Assumptions'!$E$30+'System Assumptions'!$E$28-'Data Model Calculations'!I550</f>
        <v>64.501329380873571</v>
      </c>
      <c r="K550" s="45">
        <f t="shared" si="88"/>
        <v>53.646592183743664</v>
      </c>
      <c r="L550" s="46">
        <f t="shared" si="89"/>
        <v>726890258930496</v>
      </c>
      <c r="M550" s="47">
        <f>D550/1000*('System Assumptions'!$F$20*1000000)</f>
        <v>276691425000.00018</v>
      </c>
      <c r="N550" s="48"/>
      <c r="O550" s="49">
        <f>(F550/1000)*('System Assumptions'!$F$21*1000000)</f>
        <v>6427291623373.3125</v>
      </c>
      <c r="P550" s="49">
        <f t="shared" si="93"/>
        <v>-6719352809686.5039</v>
      </c>
      <c r="Q550" s="48">
        <f t="shared" si="90"/>
        <v>726874889169182.75</v>
      </c>
      <c r="R550" s="53">
        <f t="shared" si="91"/>
        <v>53.645457851143931</v>
      </c>
      <c r="S550" s="52">
        <v>35</v>
      </c>
    </row>
    <row r="551" spans="1:19">
      <c r="A551" s="3">
        <f t="shared" si="86"/>
        <v>46</v>
      </c>
      <c r="B551" s="3">
        <f t="shared" si="94"/>
        <v>549</v>
      </c>
      <c r="C551" s="40">
        <f t="shared" si="87"/>
        <v>13549607334.625124</v>
      </c>
      <c r="D551" s="41">
        <f>'System Assumptions'!$E$11/12</f>
        <v>75242280</v>
      </c>
      <c r="E551" s="41">
        <f>-'System Assumptions'!$E$10/12</f>
        <v>-133627000</v>
      </c>
      <c r="F551" s="41">
        <f>IF(I550&lt;'System Assumptions'!$E$29,'Hydrological Data Model'!$E$33/12,'Hydrological Data Model'!$E$33/12)</f>
        <v>183636903.52495179</v>
      </c>
      <c r="G551" s="42">
        <f>IF(I550&lt;'System Assumptions'!$E$29,0,-(MIN('Hydrological Data Model'!$E$34,'Hydrological Data Model'!$E$33-'System Assumptions'!$E$12))/12)</f>
        <v>-125252183.52495177</v>
      </c>
      <c r="H551" s="42">
        <f t="shared" si="92"/>
        <v>13549607334.625124</v>
      </c>
      <c r="I551" s="106">
        <f>H551/'System Assumptions'!$F$15</f>
        <v>15.252270619126433</v>
      </c>
      <c r="J551" s="42">
        <f>'System Assumptions'!$E$30+'System Assumptions'!$E$28-'Data Model Calculations'!I551</f>
        <v>64.501329380873571</v>
      </c>
      <c r="K551" s="45">
        <f t="shared" si="88"/>
        <v>53.645457851143931</v>
      </c>
      <c r="L551" s="46">
        <f t="shared" si="89"/>
        <v>726874889169182.75</v>
      </c>
      <c r="M551" s="47">
        <f>D551/1000*('System Assumptions'!$F$20*1000000)</f>
        <v>276691425000.00018</v>
      </c>
      <c r="N551" s="48"/>
      <c r="O551" s="49">
        <f>(F551/1000)*('System Assumptions'!$F$21*1000000)</f>
        <v>6427291623373.3125</v>
      </c>
      <c r="P551" s="49">
        <f t="shared" si="93"/>
        <v>-6719210732051.5439</v>
      </c>
      <c r="Q551" s="48">
        <f t="shared" si="90"/>
        <v>726859661485504.5</v>
      </c>
      <c r="R551" s="53">
        <f t="shared" si="91"/>
        <v>53.644334004282385</v>
      </c>
      <c r="S551" s="52">
        <v>35</v>
      </c>
    </row>
    <row r="552" spans="1:19">
      <c r="A552" s="3">
        <f t="shared" si="86"/>
        <v>46</v>
      </c>
      <c r="B552" s="3">
        <f t="shared" si="94"/>
        <v>550</v>
      </c>
      <c r="C552" s="40">
        <f t="shared" si="87"/>
        <v>13549607334.625124</v>
      </c>
      <c r="D552" s="41">
        <f>'System Assumptions'!$E$11/12</f>
        <v>75242280</v>
      </c>
      <c r="E552" s="41">
        <f>-'System Assumptions'!$E$10/12</f>
        <v>-133627000</v>
      </c>
      <c r="F552" s="41">
        <f>IF(I551&lt;'System Assumptions'!$E$29,'Hydrological Data Model'!$E$33/12,'Hydrological Data Model'!$E$33/12)</f>
        <v>183636903.52495179</v>
      </c>
      <c r="G552" s="42">
        <f>IF(I551&lt;'System Assumptions'!$E$29,0,-(MIN('Hydrological Data Model'!$E$34,'Hydrological Data Model'!$E$33-'System Assumptions'!$E$12))/12)</f>
        <v>-125252183.52495177</v>
      </c>
      <c r="H552" s="42">
        <f t="shared" si="92"/>
        <v>13549607334.625124</v>
      </c>
      <c r="I552" s="106">
        <f>H552/'System Assumptions'!$F$15</f>
        <v>15.252270619126433</v>
      </c>
      <c r="J552" s="42">
        <f>'System Assumptions'!$E$30+'System Assumptions'!$E$28-'Data Model Calculations'!I552</f>
        <v>64.501329380873571</v>
      </c>
      <c r="K552" s="45">
        <f t="shared" si="88"/>
        <v>53.644334004282385</v>
      </c>
      <c r="L552" s="46">
        <f t="shared" si="89"/>
        <v>726859661485504.5</v>
      </c>
      <c r="M552" s="47">
        <f>D552/1000*('System Assumptions'!$F$20*1000000)</f>
        <v>276691425000.00018</v>
      </c>
      <c r="N552" s="48"/>
      <c r="O552" s="49">
        <f>(F552/1000)*('System Assumptions'!$F$21*1000000)</f>
        <v>6427291623373.3125</v>
      </c>
      <c r="P552" s="49">
        <f t="shared" si="93"/>
        <v>-6719069967778.1885</v>
      </c>
      <c r="Q552" s="48">
        <f t="shared" si="90"/>
        <v>726844574566099.5</v>
      </c>
      <c r="R552" s="53">
        <f t="shared" si="91"/>
        <v>53.643220546229138</v>
      </c>
      <c r="S552" s="52">
        <v>35</v>
      </c>
    </row>
    <row r="553" spans="1:19">
      <c r="A553" s="3">
        <f t="shared" si="86"/>
        <v>46</v>
      </c>
      <c r="B553" s="3">
        <f t="shared" si="94"/>
        <v>551</v>
      </c>
      <c r="C553" s="40">
        <f t="shared" si="87"/>
        <v>13549607334.625124</v>
      </c>
      <c r="D553" s="41">
        <f>'System Assumptions'!$E$11/12</f>
        <v>75242280</v>
      </c>
      <c r="E553" s="41">
        <f>-'System Assumptions'!$E$10/12</f>
        <v>-133627000</v>
      </c>
      <c r="F553" s="41">
        <f>IF(I552&lt;'System Assumptions'!$E$29,'Hydrological Data Model'!$E$33/12,'Hydrological Data Model'!$E$33/12)</f>
        <v>183636903.52495179</v>
      </c>
      <c r="G553" s="42">
        <f>IF(I552&lt;'System Assumptions'!$E$29,0,-(MIN('Hydrological Data Model'!$E$34,'Hydrological Data Model'!$E$33-'System Assumptions'!$E$12))/12)</f>
        <v>-125252183.52495177</v>
      </c>
      <c r="H553" s="42">
        <f t="shared" si="92"/>
        <v>13549607334.625124</v>
      </c>
      <c r="I553" s="106">
        <f>H553/'System Assumptions'!$F$15</f>
        <v>15.252270619126433</v>
      </c>
      <c r="J553" s="42">
        <f>'System Assumptions'!$E$30+'System Assumptions'!$E$28-'Data Model Calculations'!I553</f>
        <v>64.501329380873571</v>
      </c>
      <c r="K553" s="45">
        <f t="shared" si="88"/>
        <v>53.643220546229138</v>
      </c>
      <c r="L553" s="46">
        <f t="shared" si="89"/>
        <v>726844574566099.5</v>
      </c>
      <c r="M553" s="47">
        <f>D553/1000*('System Assumptions'!$F$20*1000000)</f>
        <v>276691425000.00018</v>
      </c>
      <c r="N553" s="48"/>
      <c r="O553" s="49">
        <f>(F553/1000)*('System Assumptions'!$F$21*1000000)</f>
        <v>6427291623373.3125</v>
      </c>
      <c r="P553" s="49">
        <f t="shared" si="93"/>
        <v>-6718930504725.7549</v>
      </c>
      <c r="Q553" s="48">
        <f t="shared" si="90"/>
        <v>726829627109747</v>
      </c>
      <c r="R553" s="53">
        <f t="shared" si="91"/>
        <v>53.642117380950367</v>
      </c>
      <c r="S553" s="52">
        <v>35</v>
      </c>
    </row>
    <row r="554" spans="1:19">
      <c r="A554" s="3">
        <f t="shared" si="86"/>
        <v>46</v>
      </c>
      <c r="B554" s="3">
        <f t="shared" si="94"/>
        <v>552</v>
      </c>
      <c r="C554" s="40">
        <f t="shared" si="87"/>
        <v>13549607334.625124</v>
      </c>
      <c r="D554" s="41">
        <f>'System Assumptions'!$E$11/12</f>
        <v>75242280</v>
      </c>
      <c r="E554" s="41">
        <f>-'System Assumptions'!$E$10/12</f>
        <v>-133627000</v>
      </c>
      <c r="F554" s="41">
        <f>IF(I553&lt;'System Assumptions'!$E$29,'Hydrological Data Model'!$E$33/12,'Hydrological Data Model'!$E$33/12)</f>
        <v>183636903.52495179</v>
      </c>
      <c r="G554" s="42">
        <f>IF(I553&lt;'System Assumptions'!$E$29,0,-(MIN('Hydrological Data Model'!$E$34,'Hydrological Data Model'!$E$33-'System Assumptions'!$E$12))/12)</f>
        <v>-125252183.52495177</v>
      </c>
      <c r="H554" s="42">
        <f t="shared" si="92"/>
        <v>13549607334.625124</v>
      </c>
      <c r="I554" s="106">
        <f>H554/'System Assumptions'!$F$15</f>
        <v>15.252270619126433</v>
      </c>
      <c r="J554" s="42">
        <f>'System Assumptions'!$E$30+'System Assumptions'!$E$28-'Data Model Calculations'!I554</f>
        <v>64.501329380873571</v>
      </c>
      <c r="K554" s="45">
        <f t="shared" si="88"/>
        <v>53.642117380950367</v>
      </c>
      <c r="L554" s="46">
        <f t="shared" si="89"/>
        <v>726829627109747</v>
      </c>
      <c r="M554" s="47">
        <f>D554/1000*('System Assumptions'!$F$20*1000000)</f>
        <v>276691425000.00018</v>
      </c>
      <c r="N554" s="48"/>
      <c r="O554" s="49">
        <f>(F554/1000)*('System Assumptions'!$F$21*1000000)</f>
        <v>6427291623373.3125</v>
      </c>
      <c r="P554" s="49">
        <f t="shared" si="93"/>
        <v>-6718792330865.7998</v>
      </c>
      <c r="Q554" s="48">
        <f t="shared" si="90"/>
        <v>726814817827254.5</v>
      </c>
      <c r="R554" s="53">
        <f t="shared" si="91"/>
        <v>53.641024413299967</v>
      </c>
      <c r="S554" s="52">
        <v>35</v>
      </c>
    </row>
    <row r="555" spans="1:19">
      <c r="A555" s="3">
        <f t="shared" ref="A555:A577" si="95">IF(MOD(B555,12)=1,A554+1,A554)</f>
        <v>47</v>
      </c>
      <c r="B555" s="3">
        <f t="shared" si="94"/>
        <v>553</v>
      </c>
      <c r="C555" s="40">
        <f t="shared" ref="C555:C577" si="96">H554</f>
        <v>13549607334.625124</v>
      </c>
      <c r="D555" s="41">
        <f>'System Assumptions'!$E$11/12</f>
        <v>75242280</v>
      </c>
      <c r="E555" s="41">
        <f>-'System Assumptions'!$E$10/12</f>
        <v>-133627000</v>
      </c>
      <c r="F555" s="41">
        <f>IF(I554&lt;'System Assumptions'!$E$29,'Hydrological Data Model'!$E$33/12,'Hydrological Data Model'!$E$33/12)</f>
        <v>183636903.52495179</v>
      </c>
      <c r="G555" s="42">
        <f>IF(I554&lt;'System Assumptions'!$E$29,0,-(MIN('Hydrological Data Model'!$E$34,'Hydrological Data Model'!$E$33-'System Assumptions'!$E$12))/12)</f>
        <v>-125252183.52495177</v>
      </c>
      <c r="H555" s="42">
        <f t="shared" si="92"/>
        <v>13549607334.625124</v>
      </c>
      <c r="I555" s="106">
        <f>H555/'System Assumptions'!$F$15</f>
        <v>15.252270619126433</v>
      </c>
      <c r="J555" s="42">
        <f>'System Assumptions'!$E$30+'System Assumptions'!$E$28-'Data Model Calculations'!I555</f>
        <v>64.501329380873571</v>
      </c>
      <c r="K555" s="45">
        <f t="shared" ref="K555:K577" si="97">R554</f>
        <v>53.641024413299967</v>
      </c>
      <c r="L555" s="46">
        <f t="shared" ref="L555:L577" si="98">Q554</f>
        <v>726814817827254.5</v>
      </c>
      <c r="M555" s="47">
        <f>D555/1000*('System Assumptions'!$F$20*1000000)</f>
        <v>276691425000.00018</v>
      </c>
      <c r="N555" s="48"/>
      <c r="O555" s="49">
        <f>(F555/1000)*('System Assumptions'!$F$21*1000000)</f>
        <v>6427291623373.3125</v>
      </c>
      <c r="P555" s="49">
        <f t="shared" si="93"/>
        <v>-6718655434281.0664</v>
      </c>
      <c r="Q555" s="48">
        <f t="shared" ref="Q555:Q577" si="99">SUM(L555:P555)</f>
        <v>726800145441346.63</v>
      </c>
      <c r="R555" s="53">
        <f t="shared" ref="R555:R577" si="100">(Q555*1000)/(H555*1000000)</f>
        <v>53.639941549011319</v>
      </c>
      <c r="S555" s="52">
        <v>35</v>
      </c>
    </row>
    <row r="556" spans="1:19">
      <c r="A556" s="3">
        <f t="shared" si="95"/>
        <v>47</v>
      </c>
      <c r="B556" s="3">
        <f t="shared" si="94"/>
        <v>554</v>
      </c>
      <c r="C556" s="40">
        <f t="shared" si="96"/>
        <v>13549607334.625124</v>
      </c>
      <c r="D556" s="41">
        <f>'System Assumptions'!$E$11/12</f>
        <v>75242280</v>
      </c>
      <c r="E556" s="41">
        <f>-'System Assumptions'!$E$10/12</f>
        <v>-133627000</v>
      </c>
      <c r="F556" s="41">
        <f>IF(I555&lt;'System Assumptions'!$E$29,'Hydrological Data Model'!$E$33/12,'Hydrological Data Model'!$E$33/12)</f>
        <v>183636903.52495179</v>
      </c>
      <c r="G556" s="42">
        <f>IF(I555&lt;'System Assumptions'!$E$29,0,-(MIN('Hydrological Data Model'!$E$34,'Hydrological Data Model'!$E$33-'System Assumptions'!$E$12))/12)</f>
        <v>-125252183.52495177</v>
      </c>
      <c r="H556" s="42">
        <f t="shared" si="92"/>
        <v>13549607334.625124</v>
      </c>
      <c r="I556" s="106">
        <f>H556/'System Assumptions'!$F$15</f>
        <v>15.252270619126433</v>
      </c>
      <c r="J556" s="42">
        <f>'System Assumptions'!$E$30+'System Assumptions'!$E$28-'Data Model Calculations'!I556</f>
        <v>64.501329380873571</v>
      </c>
      <c r="K556" s="45">
        <f t="shared" si="97"/>
        <v>53.639941549011319</v>
      </c>
      <c r="L556" s="46">
        <f t="shared" si="98"/>
        <v>726800145441346.63</v>
      </c>
      <c r="M556" s="47">
        <f>D556/1000*('System Assumptions'!$F$20*1000000)</f>
        <v>276691425000.00018</v>
      </c>
      <c r="N556" s="48"/>
      <c r="O556" s="49">
        <f>(F556/1000)*('System Assumptions'!$F$21*1000000)</f>
        <v>6427291623373.3125</v>
      </c>
      <c r="P556" s="49">
        <f t="shared" si="93"/>
        <v>-6718519803164.4512</v>
      </c>
      <c r="Q556" s="48">
        <f t="shared" si="99"/>
        <v>726785608686555.5</v>
      </c>
      <c r="R556" s="53">
        <f t="shared" si="100"/>
        <v>53.638868694689258</v>
      </c>
      <c r="S556" s="52">
        <v>35</v>
      </c>
    </row>
    <row r="557" spans="1:19">
      <c r="A557" s="3">
        <f t="shared" si="95"/>
        <v>47</v>
      </c>
      <c r="B557" s="3">
        <f t="shared" si="94"/>
        <v>555</v>
      </c>
      <c r="C557" s="40">
        <f t="shared" si="96"/>
        <v>13549607334.625124</v>
      </c>
      <c r="D557" s="41">
        <f>'System Assumptions'!$E$11/12</f>
        <v>75242280</v>
      </c>
      <c r="E557" s="41">
        <f>-'System Assumptions'!$E$10/12</f>
        <v>-133627000</v>
      </c>
      <c r="F557" s="41">
        <f>IF(I556&lt;'System Assumptions'!$E$29,'Hydrological Data Model'!$E$33/12,'Hydrological Data Model'!$E$33/12)</f>
        <v>183636903.52495179</v>
      </c>
      <c r="G557" s="42">
        <f>IF(I556&lt;'System Assumptions'!$E$29,0,-(MIN('Hydrological Data Model'!$E$34,'Hydrological Data Model'!$E$33-'System Assumptions'!$E$12))/12)</f>
        <v>-125252183.52495177</v>
      </c>
      <c r="H557" s="42">
        <f t="shared" si="92"/>
        <v>13549607334.625124</v>
      </c>
      <c r="I557" s="106">
        <f>H557/'System Assumptions'!$F$15</f>
        <v>15.252270619126433</v>
      </c>
      <c r="J557" s="42">
        <f>'System Assumptions'!$E$30+'System Assumptions'!$E$28-'Data Model Calculations'!I557</f>
        <v>64.501329380873571</v>
      </c>
      <c r="K557" s="45">
        <f t="shared" si="97"/>
        <v>53.638868694689258</v>
      </c>
      <c r="L557" s="46">
        <f t="shared" si="98"/>
        <v>726785608686555.5</v>
      </c>
      <c r="M557" s="47">
        <f>D557/1000*('System Assumptions'!$F$20*1000000)</f>
        <v>276691425000.00018</v>
      </c>
      <c r="N557" s="48"/>
      <c r="O557" s="49">
        <f>(F557/1000)*('System Assumptions'!$F$21*1000000)</f>
        <v>6427291623373.3125</v>
      </c>
      <c r="P557" s="49">
        <f t="shared" si="93"/>
        <v>-6718385425818.0088</v>
      </c>
      <c r="Q557" s="48">
        <f t="shared" si="99"/>
        <v>726771206309110.75</v>
      </c>
      <c r="R557" s="53">
        <f t="shared" si="100"/>
        <v>53.637805757801935</v>
      </c>
      <c r="S557" s="52">
        <v>35</v>
      </c>
    </row>
    <row r="558" spans="1:19">
      <c r="A558" s="3">
        <f t="shared" si="95"/>
        <v>47</v>
      </c>
      <c r="B558" s="3">
        <f t="shared" si="94"/>
        <v>556</v>
      </c>
      <c r="C558" s="40">
        <f t="shared" si="96"/>
        <v>13549607334.625124</v>
      </c>
      <c r="D558" s="41">
        <f>'System Assumptions'!$E$11/12</f>
        <v>75242280</v>
      </c>
      <c r="E558" s="41">
        <f>-'System Assumptions'!$E$10/12</f>
        <v>-133627000</v>
      </c>
      <c r="F558" s="41">
        <f>IF(I557&lt;'System Assumptions'!$E$29,'Hydrological Data Model'!$E$33/12,'Hydrological Data Model'!$E$33/12)</f>
        <v>183636903.52495179</v>
      </c>
      <c r="G558" s="42">
        <f>IF(I557&lt;'System Assumptions'!$E$29,0,-(MIN('Hydrological Data Model'!$E$34,'Hydrological Data Model'!$E$33-'System Assumptions'!$E$12))/12)</f>
        <v>-125252183.52495177</v>
      </c>
      <c r="H558" s="42">
        <f t="shared" si="92"/>
        <v>13549607334.625124</v>
      </c>
      <c r="I558" s="106">
        <f>H558/'System Assumptions'!$F$15</f>
        <v>15.252270619126433</v>
      </c>
      <c r="J558" s="42">
        <f>'System Assumptions'!$E$30+'System Assumptions'!$E$28-'Data Model Calculations'!I558</f>
        <v>64.501329380873571</v>
      </c>
      <c r="K558" s="45">
        <f t="shared" si="97"/>
        <v>53.637805757801935</v>
      </c>
      <c r="L558" s="46">
        <f t="shared" si="98"/>
        <v>726771206309110.75</v>
      </c>
      <c r="M558" s="47">
        <f>D558/1000*('System Assumptions'!$F$20*1000000)</f>
        <v>276691425000.00018</v>
      </c>
      <c r="N558" s="48"/>
      <c r="O558" s="49">
        <f>(F558/1000)*('System Assumptions'!$F$21*1000000)</f>
        <v>6427291623373.3125</v>
      </c>
      <c r="P558" s="49">
        <f t="shared" si="93"/>
        <v>-6718252290651.9219</v>
      </c>
      <c r="Q558" s="48">
        <f t="shared" si="99"/>
        <v>726756937066832.13</v>
      </c>
      <c r="R558" s="53">
        <f t="shared" si="100"/>
        <v>53.636752646672861</v>
      </c>
      <c r="S558" s="52">
        <v>35</v>
      </c>
    </row>
    <row r="559" spans="1:19">
      <c r="A559" s="3">
        <f t="shared" si="95"/>
        <v>47</v>
      </c>
      <c r="B559" s="3">
        <f t="shared" si="94"/>
        <v>557</v>
      </c>
      <c r="C559" s="40">
        <f t="shared" si="96"/>
        <v>13549607334.625124</v>
      </c>
      <c r="D559" s="41">
        <f>'System Assumptions'!$E$11/12</f>
        <v>75242280</v>
      </c>
      <c r="E559" s="41">
        <f>-'System Assumptions'!$E$10/12</f>
        <v>-133627000</v>
      </c>
      <c r="F559" s="41">
        <f>IF(I558&lt;'System Assumptions'!$E$29,'Hydrological Data Model'!$E$33/12,'Hydrological Data Model'!$E$33/12)</f>
        <v>183636903.52495179</v>
      </c>
      <c r="G559" s="42">
        <f>IF(I558&lt;'System Assumptions'!$E$29,0,-(MIN('Hydrological Data Model'!$E$34,'Hydrological Data Model'!$E$33-'System Assumptions'!$E$12))/12)</f>
        <v>-125252183.52495177</v>
      </c>
      <c r="H559" s="42">
        <f t="shared" si="92"/>
        <v>13549607334.625124</v>
      </c>
      <c r="I559" s="106">
        <f>H559/'System Assumptions'!$F$15</f>
        <v>15.252270619126433</v>
      </c>
      <c r="J559" s="42">
        <f>'System Assumptions'!$E$30+'System Assumptions'!$E$28-'Data Model Calculations'!I559</f>
        <v>64.501329380873571</v>
      </c>
      <c r="K559" s="45">
        <f t="shared" si="97"/>
        <v>53.636752646672861</v>
      </c>
      <c r="L559" s="46">
        <f t="shared" si="98"/>
        <v>726756937066832.13</v>
      </c>
      <c r="M559" s="47">
        <f>D559/1000*('System Assumptions'!$F$20*1000000)</f>
        <v>276691425000.00018</v>
      </c>
      <c r="N559" s="48"/>
      <c r="O559" s="49">
        <f>(F559/1000)*('System Assumptions'!$F$21*1000000)</f>
        <v>6427291623373.3125</v>
      </c>
      <c r="P559" s="49">
        <f t="shared" si="93"/>
        <v>-6718120386183.5107</v>
      </c>
      <c r="Q559" s="48">
        <f t="shared" si="99"/>
        <v>726742799729022</v>
      </c>
      <c r="R559" s="53">
        <f t="shared" si="100"/>
        <v>53.635709270473015</v>
      </c>
      <c r="S559" s="52">
        <v>35</v>
      </c>
    </row>
    <row r="560" spans="1:19">
      <c r="A560" s="3">
        <f t="shared" si="95"/>
        <v>47</v>
      </c>
      <c r="B560" s="3">
        <f t="shared" si="94"/>
        <v>558</v>
      </c>
      <c r="C560" s="40">
        <f t="shared" si="96"/>
        <v>13549607334.625124</v>
      </c>
      <c r="D560" s="41">
        <f>'System Assumptions'!$E$11/12</f>
        <v>75242280</v>
      </c>
      <c r="E560" s="41">
        <f>-'System Assumptions'!$E$10/12</f>
        <v>-133627000</v>
      </c>
      <c r="F560" s="41">
        <f>IF(I559&lt;'System Assumptions'!$E$29,'Hydrological Data Model'!$E$33/12,'Hydrological Data Model'!$E$33/12)</f>
        <v>183636903.52495179</v>
      </c>
      <c r="G560" s="42">
        <f>IF(I559&lt;'System Assumptions'!$E$29,0,-(MIN('Hydrological Data Model'!$E$34,'Hydrological Data Model'!$E$33-'System Assumptions'!$E$12))/12)</f>
        <v>-125252183.52495177</v>
      </c>
      <c r="H560" s="42">
        <f t="shared" si="92"/>
        <v>13549607334.625124</v>
      </c>
      <c r="I560" s="106">
        <f>H560/'System Assumptions'!$F$15</f>
        <v>15.252270619126433</v>
      </c>
      <c r="J560" s="42">
        <f>'System Assumptions'!$E$30+'System Assumptions'!$E$28-'Data Model Calculations'!I560</f>
        <v>64.501329380873571</v>
      </c>
      <c r="K560" s="45">
        <f t="shared" si="97"/>
        <v>53.635709270473015</v>
      </c>
      <c r="L560" s="46">
        <f t="shared" si="98"/>
        <v>726742799729022</v>
      </c>
      <c r="M560" s="47">
        <f>D560/1000*('System Assumptions'!$F$20*1000000)</f>
        <v>276691425000.00018</v>
      </c>
      <c r="N560" s="48"/>
      <c r="O560" s="49">
        <f>(F560/1000)*('System Assumptions'!$F$21*1000000)</f>
        <v>6427291623373.3125</v>
      </c>
      <c r="P560" s="49">
        <f t="shared" si="93"/>
        <v>-6717989701036.2432</v>
      </c>
      <c r="Q560" s="48">
        <f t="shared" si="99"/>
        <v>726728793076359</v>
      </c>
      <c r="R560" s="53">
        <f t="shared" si="100"/>
        <v>53.634675539212992</v>
      </c>
      <c r="S560" s="52">
        <v>35</v>
      </c>
    </row>
    <row r="561" spans="1:19">
      <c r="A561" s="3">
        <f t="shared" si="95"/>
        <v>47</v>
      </c>
      <c r="B561" s="3">
        <f t="shared" si="94"/>
        <v>559</v>
      </c>
      <c r="C561" s="40">
        <f t="shared" si="96"/>
        <v>13549607334.625124</v>
      </c>
      <c r="D561" s="41">
        <f>'System Assumptions'!$E$11/12</f>
        <v>75242280</v>
      </c>
      <c r="E561" s="41">
        <f>-'System Assumptions'!$E$10/12</f>
        <v>-133627000</v>
      </c>
      <c r="F561" s="41">
        <f>IF(I560&lt;'System Assumptions'!$E$29,'Hydrological Data Model'!$E$33/12,'Hydrological Data Model'!$E$33/12)</f>
        <v>183636903.52495179</v>
      </c>
      <c r="G561" s="42">
        <f>IF(I560&lt;'System Assumptions'!$E$29,0,-(MIN('Hydrological Data Model'!$E$34,'Hydrological Data Model'!$E$33-'System Assumptions'!$E$12))/12)</f>
        <v>-125252183.52495177</v>
      </c>
      <c r="H561" s="42">
        <f t="shared" si="92"/>
        <v>13549607334.625124</v>
      </c>
      <c r="I561" s="106">
        <f>H561/'System Assumptions'!$F$15</f>
        <v>15.252270619126433</v>
      </c>
      <c r="J561" s="42">
        <f>'System Assumptions'!$E$30+'System Assumptions'!$E$28-'Data Model Calculations'!I561</f>
        <v>64.501329380873571</v>
      </c>
      <c r="K561" s="45">
        <f t="shared" si="97"/>
        <v>53.634675539212992</v>
      </c>
      <c r="L561" s="46">
        <f t="shared" si="98"/>
        <v>726728793076359</v>
      </c>
      <c r="M561" s="47">
        <f>D561/1000*('System Assumptions'!$F$20*1000000)</f>
        <v>276691425000.00018</v>
      </c>
      <c r="N561" s="48"/>
      <c r="O561" s="49">
        <f>(F561/1000)*('System Assumptions'!$F$21*1000000)</f>
        <v>6427291623373.3125</v>
      </c>
      <c r="P561" s="49">
        <f t="shared" si="93"/>
        <v>-6717860223938.7471</v>
      </c>
      <c r="Q561" s="48">
        <f t="shared" si="99"/>
        <v>726714915900793.5</v>
      </c>
      <c r="R561" s="53">
        <f t="shared" si="100"/>
        <v>53.633651363735218</v>
      </c>
      <c r="S561" s="52">
        <v>35</v>
      </c>
    </row>
    <row r="562" spans="1:19">
      <c r="A562" s="3">
        <f t="shared" si="95"/>
        <v>47</v>
      </c>
      <c r="B562" s="3">
        <f t="shared" si="94"/>
        <v>560</v>
      </c>
      <c r="C562" s="40">
        <f t="shared" si="96"/>
        <v>13549607334.625124</v>
      </c>
      <c r="D562" s="41">
        <f>'System Assumptions'!$E$11/12</f>
        <v>75242280</v>
      </c>
      <c r="E562" s="41">
        <f>-'System Assumptions'!$E$10/12</f>
        <v>-133627000</v>
      </c>
      <c r="F562" s="41">
        <f>IF(I561&lt;'System Assumptions'!$E$29,'Hydrological Data Model'!$E$33/12,'Hydrological Data Model'!$E$33/12)</f>
        <v>183636903.52495179</v>
      </c>
      <c r="G562" s="42">
        <f>IF(I561&lt;'System Assumptions'!$E$29,0,-(MIN('Hydrological Data Model'!$E$34,'Hydrological Data Model'!$E$33-'System Assumptions'!$E$12))/12)</f>
        <v>-125252183.52495177</v>
      </c>
      <c r="H562" s="42">
        <f t="shared" si="92"/>
        <v>13549607334.625124</v>
      </c>
      <c r="I562" s="106">
        <f>H562/'System Assumptions'!$F$15</f>
        <v>15.252270619126433</v>
      </c>
      <c r="J562" s="42">
        <f>'System Assumptions'!$E$30+'System Assumptions'!$E$28-'Data Model Calculations'!I562</f>
        <v>64.501329380873571</v>
      </c>
      <c r="K562" s="45">
        <f t="shared" si="97"/>
        <v>53.633651363735218</v>
      </c>
      <c r="L562" s="46">
        <f t="shared" si="98"/>
        <v>726714915900793.5</v>
      </c>
      <c r="M562" s="47">
        <f>D562/1000*('System Assumptions'!$F$20*1000000)</f>
        <v>276691425000.00018</v>
      </c>
      <c r="N562" s="48"/>
      <c r="O562" s="49">
        <f>(F562/1000)*('System Assumptions'!$F$21*1000000)</f>
        <v>6427291623373.3125</v>
      </c>
      <c r="P562" s="49">
        <f t="shared" si="93"/>
        <v>-6717731943723.8428</v>
      </c>
      <c r="Q562" s="48">
        <f t="shared" si="99"/>
        <v>726701167005442.88</v>
      </c>
      <c r="R562" s="53">
        <f t="shared" si="100"/>
        <v>53.632636655706335</v>
      </c>
      <c r="S562" s="52">
        <v>35</v>
      </c>
    </row>
    <row r="563" spans="1:19">
      <c r="A563" s="3">
        <f t="shared" si="95"/>
        <v>47</v>
      </c>
      <c r="B563" s="3">
        <f t="shared" si="94"/>
        <v>561</v>
      </c>
      <c r="C563" s="40">
        <f t="shared" si="96"/>
        <v>13549607334.625124</v>
      </c>
      <c r="D563" s="41">
        <f>'System Assumptions'!$E$11/12</f>
        <v>75242280</v>
      </c>
      <c r="E563" s="41">
        <f>-'System Assumptions'!$E$10/12</f>
        <v>-133627000</v>
      </c>
      <c r="F563" s="41">
        <f>IF(I562&lt;'System Assumptions'!$E$29,'Hydrological Data Model'!$E$33/12,'Hydrological Data Model'!$E$33/12)</f>
        <v>183636903.52495179</v>
      </c>
      <c r="G563" s="42">
        <f>IF(I562&lt;'System Assumptions'!$E$29,0,-(MIN('Hydrological Data Model'!$E$34,'Hydrological Data Model'!$E$33-'System Assumptions'!$E$12))/12)</f>
        <v>-125252183.52495177</v>
      </c>
      <c r="H563" s="42">
        <f t="shared" si="92"/>
        <v>13549607334.625124</v>
      </c>
      <c r="I563" s="106">
        <f>H563/'System Assumptions'!$F$15</f>
        <v>15.252270619126433</v>
      </c>
      <c r="J563" s="42">
        <f>'System Assumptions'!$E$30+'System Assumptions'!$E$28-'Data Model Calculations'!I563</f>
        <v>64.501329380873571</v>
      </c>
      <c r="K563" s="45">
        <f t="shared" si="97"/>
        <v>53.632636655706335</v>
      </c>
      <c r="L563" s="46">
        <f t="shared" si="98"/>
        <v>726701167005442.88</v>
      </c>
      <c r="M563" s="47">
        <f>D563/1000*('System Assumptions'!$F$20*1000000)</f>
        <v>276691425000.00018</v>
      </c>
      <c r="N563" s="48"/>
      <c r="O563" s="49">
        <f>(F563/1000)*('System Assumptions'!$F$21*1000000)</f>
        <v>6427291623373.3125</v>
      </c>
      <c r="P563" s="49">
        <f t="shared" si="93"/>
        <v>-6717604849327.585</v>
      </c>
      <c r="Q563" s="48">
        <f t="shared" si="99"/>
        <v>726687545204488.63</v>
      </c>
      <c r="R563" s="53">
        <f t="shared" si="100"/>
        <v>53.631631327609526</v>
      </c>
      <c r="S563" s="52">
        <v>35</v>
      </c>
    </row>
    <row r="564" spans="1:19">
      <c r="A564" s="3">
        <f t="shared" si="95"/>
        <v>47</v>
      </c>
      <c r="B564" s="3">
        <f t="shared" si="94"/>
        <v>562</v>
      </c>
      <c r="C564" s="40">
        <f t="shared" si="96"/>
        <v>13549607334.625124</v>
      </c>
      <c r="D564" s="41">
        <f>'System Assumptions'!$E$11/12</f>
        <v>75242280</v>
      </c>
      <c r="E564" s="41">
        <f>-'System Assumptions'!$E$10/12</f>
        <v>-133627000</v>
      </c>
      <c r="F564" s="41">
        <f>IF(I563&lt;'System Assumptions'!$E$29,'Hydrological Data Model'!$E$33/12,'Hydrological Data Model'!$E$33/12)</f>
        <v>183636903.52495179</v>
      </c>
      <c r="G564" s="42">
        <f>IF(I563&lt;'System Assumptions'!$E$29,0,-(MIN('Hydrological Data Model'!$E$34,'Hydrological Data Model'!$E$33-'System Assumptions'!$E$12))/12)</f>
        <v>-125252183.52495177</v>
      </c>
      <c r="H564" s="42">
        <f t="shared" si="92"/>
        <v>13549607334.625124</v>
      </c>
      <c r="I564" s="106">
        <f>H564/'System Assumptions'!$F$15</f>
        <v>15.252270619126433</v>
      </c>
      <c r="J564" s="42">
        <f>'System Assumptions'!$E$30+'System Assumptions'!$E$28-'Data Model Calculations'!I564</f>
        <v>64.501329380873571</v>
      </c>
      <c r="K564" s="45">
        <f t="shared" si="97"/>
        <v>53.631631327609526</v>
      </c>
      <c r="L564" s="46">
        <f t="shared" si="98"/>
        <v>726687545204488.63</v>
      </c>
      <c r="M564" s="47">
        <f>D564/1000*('System Assumptions'!$F$20*1000000)</f>
        <v>276691425000.00018</v>
      </c>
      <c r="N564" s="48"/>
      <c r="O564" s="49">
        <f>(F564/1000)*('System Assumptions'!$F$21*1000000)</f>
        <v>6427291623373.3125</v>
      </c>
      <c r="P564" s="49">
        <f t="shared" si="93"/>
        <v>-6717478929788.3008</v>
      </c>
      <c r="Q564" s="48">
        <f t="shared" si="99"/>
        <v>726674049323073.75</v>
      </c>
      <c r="R564" s="53">
        <f t="shared" si="100"/>
        <v>53.630635292736962</v>
      </c>
      <c r="S564" s="52">
        <v>35</v>
      </c>
    </row>
    <row r="565" spans="1:19">
      <c r="A565" s="3">
        <f t="shared" si="95"/>
        <v>47</v>
      </c>
      <c r="B565" s="3">
        <f t="shared" si="94"/>
        <v>563</v>
      </c>
      <c r="C565" s="40">
        <f t="shared" si="96"/>
        <v>13549607334.625124</v>
      </c>
      <c r="D565" s="41">
        <f>'System Assumptions'!$E$11/12</f>
        <v>75242280</v>
      </c>
      <c r="E565" s="41">
        <f>-'System Assumptions'!$E$10/12</f>
        <v>-133627000</v>
      </c>
      <c r="F565" s="41">
        <f>IF(I564&lt;'System Assumptions'!$E$29,'Hydrological Data Model'!$E$33/12,'Hydrological Data Model'!$E$33/12)</f>
        <v>183636903.52495179</v>
      </c>
      <c r="G565" s="42">
        <f>IF(I564&lt;'System Assumptions'!$E$29,0,-(MIN('Hydrological Data Model'!$E$34,'Hydrological Data Model'!$E$33-'System Assumptions'!$E$12))/12)</f>
        <v>-125252183.52495177</v>
      </c>
      <c r="H565" s="42">
        <f t="shared" si="92"/>
        <v>13549607334.625124</v>
      </c>
      <c r="I565" s="106">
        <f>H565/'System Assumptions'!$F$15</f>
        <v>15.252270619126433</v>
      </c>
      <c r="J565" s="42">
        <f>'System Assumptions'!$E$30+'System Assumptions'!$E$28-'Data Model Calculations'!I565</f>
        <v>64.501329380873571</v>
      </c>
      <c r="K565" s="45">
        <f t="shared" si="97"/>
        <v>53.630635292736962</v>
      </c>
      <c r="L565" s="46">
        <f t="shared" si="98"/>
        <v>726674049323073.75</v>
      </c>
      <c r="M565" s="47">
        <f>D565/1000*('System Assumptions'!$F$20*1000000)</f>
        <v>276691425000.00018</v>
      </c>
      <c r="N565" s="48"/>
      <c r="O565" s="49">
        <f>(F565/1000)*('System Assumptions'!$F$21*1000000)</f>
        <v>6427291623373.3125</v>
      </c>
      <c r="P565" s="49">
        <f t="shared" si="93"/>
        <v>-6717354174245.6445</v>
      </c>
      <c r="Q565" s="48">
        <f t="shared" si="99"/>
        <v>726660678197201.38</v>
      </c>
      <c r="R565" s="53">
        <f t="shared" si="100"/>
        <v>53.629648465182321</v>
      </c>
      <c r="S565" s="52">
        <v>35</v>
      </c>
    </row>
    <row r="566" spans="1:19">
      <c r="A566" s="3">
        <f t="shared" si="95"/>
        <v>47</v>
      </c>
      <c r="B566" s="3">
        <f t="shared" si="94"/>
        <v>564</v>
      </c>
      <c r="C566" s="40">
        <f t="shared" si="96"/>
        <v>13549607334.625124</v>
      </c>
      <c r="D566" s="41">
        <f>'System Assumptions'!$E$11/12</f>
        <v>75242280</v>
      </c>
      <c r="E566" s="41">
        <f>-'System Assumptions'!$E$10/12</f>
        <v>-133627000</v>
      </c>
      <c r="F566" s="41">
        <f>IF(I565&lt;'System Assumptions'!$E$29,'Hydrological Data Model'!$E$33/12,'Hydrological Data Model'!$E$33/12)</f>
        <v>183636903.52495179</v>
      </c>
      <c r="G566" s="42">
        <f>IF(I565&lt;'System Assumptions'!$E$29,0,-(MIN('Hydrological Data Model'!$E$34,'Hydrological Data Model'!$E$33-'System Assumptions'!$E$12))/12)</f>
        <v>-125252183.52495177</v>
      </c>
      <c r="H566" s="42">
        <f t="shared" si="92"/>
        <v>13549607334.625124</v>
      </c>
      <c r="I566" s="106">
        <f>H566/'System Assumptions'!$F$15</f>
        <v>15.252270619126433</v>
      </c>
      <c r="J566" s="42">
        <f>'System Assumptions'!$E$30+'System Assumptions'!$E$28-'Data Model Calculations'!I566</f>
        <v>64.501329380873571</v>
      </c>
      <c r="K566" s="45">
        <f t="shared" si="97"/>
        <v>53.629648465182321</v>
      </c>
      <c r="L566" s="46">
        <f t="shared" si="98"/>
        <v>726660678197201.38</v>
      </c>
      <c r="M566" s="47">
        <f>D566/1000*('System Assumptions'!$F$20*1000000)</f>
        <v>276691425000.00018</v>
      </c>
      <c r="N566" s="48"/>
      <c r="O566" s="49">
        <f>(F566/1000)*('System Assumptions'!$F$21*1000000)</f>
        <v>6427291623373.3125</v>
      </c>
      <c r="P566" s="49">
        <f t="shared" si="93"/>
        <v>-6717230571939.6641</v>
      </c>
      <c r="Q566" s="48">
        <f t="shared" si="99"/>
        <v>726647430673635.13</v>
      </c>
      <c r="R566" s="53">
        <f t="shared" si="100"/>
        <v>53.62867075983344</v>
      </c>
      <c r="S566" s="52">
        <v>35</v>
      </c>
    </row>
    <row r="567" spans="1:19">
      <c r="A567" s="3">
        <f t="shared" si="95"/>
        <v>48</v>
      </c>
      <c r="B567" s="3">
        <f t="shared" si="94"/>
        <v>565</v>
      </c>
      <c r="C567" s="40">
        <f t="shared" si="96"/>
        <v>13549607334.625124</v>
      </c>
      <c r="D567" s="41">
        <f>'System Assumptions'!$E$11/12</f>
        <v>75242280</v>
      </c>
      <c r="E567" s="41">
        <f>-'System Assumptions'!$E$10/12</f>
        <v>-133627000</v>
      </c>
      <c r="F567" s="41">
        <f>IF(I566&lt;'System Assumptions'!$E$29,'Hydrological Data Model'!$E$33/12,'Hydrological Data Model'!$E$33/12)</f>
        <v>183636903.52495179</v>
      </c>
      <c r="G567" s="42">
        <f>IF(I566&lt;'System Assumptions'!$E$29,0,-(MIN('Hydrological Data Model'!$E$34,'Hydrological Data Model'!$E$33-'System Assumptions'!$E$12))/12)</f>
        <v>-125252183.52495177</v>
      </c>
      <c r="H567" s="42">
        <f t="shared" si="92"/>
        <v>13549607334.625124</v>
      </c>
      <c r="I567" s="106">
        <f>H567/'System Assumptions'!$F$15</f>
        <v>15.252270619126433</v>
      </c>
      <c r="J567" s="42">
        <f>'System Assumptions'!$E$30+'System Assumptions'!$E$28-'Data Model Calculations'!I567</f>
        <v>64.501329380873571</v>
      </c>
      <c r="K567" s="45">
        <f t="shared" si="97"/>
        <v>53.62867075983344</v>
      </c>
      <c r="L567" s="46">
        <f t="shared" si="98"/>
        <v>726647430673635.13</v>
      </c>
      <c r="M567" s="47">
        <f>D567/1000*('System Assumptions'!$F$20*1000000)</f>
        <v>276691425000.00018</v>
      </c>
      <c r="N567" s="48"/>
      <c r="O567" s="49">
        <f>(F567/1000)*('System Assumptions'!$F$21*1000000)</f>
        <v>6427291623373.3125</v>
      </c>
      <c r="P567" s="49">
        <f t="shared" si="93"/>
        <v>-6717108112209.873</v>
      </c>
      <c r="Q567" s="48">
        <f t="shared" si="99"/>
        <v>726634305609798.63</v>
      </c>
      <c r="R567" s="53">
        <f t="shared" si="100"/>
        <v>53.627702092364906</v>
      </c>
      <c r="S567" s="52">
        <v>35</v>
      </c>
    </row>
    <row r="568" spans="1:19">
      <c r="A568" s="3">
        <f t="shared" si="95"/>
        <v>48</v>
      </c>
      <c r="B568" s="3">
        <f t="shared" si="94"/>
        <v>566</v>
      </c>
      <c r="C568" s="40">
        <f t="shared" si="96"/>
        <v>13549607334.625124</v>
      </c>
      <c r="D568" s="41">
        <f>'System Assumptions'!$E$11/12</f>
        <v>75242280</v>
      </c>
      <c r="E568" s="41">
        <f>-'System Assumptions'!$E$10/12</f>
        <v>-133627000</v>
      </c>
      <c r="F568" s="41">
        <f>IF(I567&lt;'System Assumptions'!$E$29,'Hydrological Data Model'!$E$33/12,'Hydrological Data Model'!$E$33/12)</f>
        <v>183636903.52495179</v>
      </c>
      <c r="G568" s="42">
        <f>IF(I567&lt;'System Assumptions'!$E$29,0,-(MIN('Hydrological Data Model'!$E$34,'Hydrological Data Model'!$E$33-'System Assumptions'!$E$12))/12)</f>
        <v>-125252183.52495177</v>
      </c>
      <c r="H568" s="42">
        <f t="shared" si="92"/>
        <v>13549607334.625124</v>
      </c>
      <c r="I568" s="106">
        <f>H568/'System Assumptions'!$F$15</f>
        <v>15.252270619126433</v>
      </c>
      <c r="J568" s="42">
        <f>'System Assumptions'!$E$30+'System Assumptions'!$E$28-'Data Model Calculations'!I568</f>
        <v>64.501329380873571</v>
      </c>
      <c r="K568" s="45">
        <f t="shared" si="97"/>
        <v>53.627702092364906</v>
      </c>
      <c r="L568" s="46">
        <f t="shared" si="98"/>
        <v>726634305609798.63</v>
      </c>
      <c r="M568" s="47">
        <f>D568/1000*('System Assumptions'!$F$20*1000000)</f>
        <v>276691425000.00018</v>
      </c>
      <c r="N568" s="48"/>
      <c r="O568" s="49">
        <f>(F568/1000)*('System Assumptions'!$F$21*1000000)</f>
        <v>6427291623373.3125</v>
      </c>
      <c r="P568" s="49">
        <f t="shared" si="93"/>
        <v>-6716986784494.3291</v>
      </c>
      <c r="Q568" s="48">
        <f t="shared" si="99"/>
        <v>726621301873677.63</v>
      </c>
      <c r="R568" s="53">
        <f t="shared" si="100"/>
        <v>53.626742379230798</v>
      </c>
      <c r="S568" s="52">
        <v>35</v>
      </c>
    </row>
    <row r="569" spans="1:19">
      <c r="A569" s="3">
        <f t="shared" si="95"/>
        <v>48</v>
      </c>
      <c r="B569" s="3">
        <f t="shared" si="94"/>
        <v>567</v>
      </c>
      <c r="C569" s="40">
        <f t="shared" si="96"/>
        <v>13549607334.625124</v>
      </c>
      <c r="D569" s="41">
        <f>'System Assumptions'!$E$11/12</f>
        <v>75242280</v>
      </c>
      <c r="E569" s="41">
        <f>-'System Assumptions'!$E$10/12</f>
        <v>-133627000</v>
      </c>
      <c r="F569" s="41">
        <f>IF(I568&lt;'System Assumptions'!$E$29,'Hydrological Data Model'!$E$33/12,'Hydrological Data Model'!$E$33/12)</f>
        <v>183636903.52495179</v>
      </c>
      <c r="G569" s="42">
        <f>IF(I568&lt;'System Assumptions'!$E$29,0,-(MIN('Hydrological Data Model'!$E$34,'Hydrological Data Model'!$E$33-'System Assumptions'!$E$12))/12)</f>
        <v>-125252183.52495177</v>
      </c>
      <c r="H569" s="42">
        <f t="shared" si="92"/>
        <v>13549607334.625124</v>
      </c>
      <c r="I569" s="106">
        <f>H569/'System Assumptions'!$F$15</f>
        <v>15.252270619126433</v>
      </c>
      <c r="J569" s="42">
        <f>'System Assumptions'!$E$30+'System Assumptions'!$E$28-'Data Model Calculations'!I569</f>
        <v>64.501329380873571</v>
      </c>
      <c r="K569" s="45">
        <f t="shared" si="97"/>
        <v>53.626742379230798</v>
      </c>
      <c r="L569" s="46">
        <f t="shared" si="98"/>
        <v>726621301873677.63</v>
      </c>
      <c r="M569" s="47">
        <f>D569/1000*('System Assumptions'!$F$20*1000000)</f>
        <v>276691425000.00018</v>
      </c>
      <c r="N569" s="48"/>
      <c r="O569" s="49">
        <f>(F569/1000)*('System Assumptions'!$F$21*1000000)</f>
        <v>6427291623373.3125</v>
      </c>
      <c r="P569" s="49">
        <f t="shared" si="93"/>
        <v>-6716866578328.7236</v>
      </c>
      <c r="Q569" s="48">
        <f t="shared" si="99"/>
        <v>726608418343722.25</v>
      </c>
      <c r="R569" s="53">
        <f t="shared" si="100"/>
        <v>53.62579153765752</v>
      </c>
      <c r="S569" s="52">
        <v>35</v>
      </c>
    </row>
    <row r="570" spans="1:19">
      <c r="A570" s="3">
        <f t="shared" si="95"/>
        <v>48</v>
      </c>
      <c r="B570" s="3">
        <f t="shared" si="94"/>
        <v>568</v>
      </c>
      <c r="C570" s="40">
        <f t="shared" si="96"/>
        <v>13549607334.625124</v>
      </c>
      <c r="D570" s="41">
        <f>'System Assumptions'!$E$11/12</f>
        <v>75242280</v>
      </c>
      <c r="E570" s="41">
        <f>-'System Assumptions'!$E$10/12</f>
        <v>-133627000</v>
      </c>
      <c r="F570" s="41">
        <f>IF(I569&lt;'System Assumptions'!$E$29,'Hydrological Data Model'!$E$33/12,'Hydrological Data Model'!$E$33/12)</f>
        <v>183636903.52495179</v>
      </c>
      <c r="G570" s="42">
        <f>IF(I569&lt;'System Assumptions'!$E$29,0,-(MIN('Hydrological Data Model'!$E$34,'Hydrological Data Model'!$E$33-'System Assumptions'!$E$12))/12)</f>
        <v>-125252183.52495177</v>
      </c>
      <c r="H570" s="42">
        <f t="shared" si="92"/>
        <v>13549607334.625124</v>
      </c>
      <c r="I570" s="106">
        <f>H570/'System Assumptions'!$F$15</f>
        <v>15.252270619126433</v>
      </c>
      <c r="J570" s="42">
        <f>'System Assumptions'!$E$30+'System Assumptions'!$E$28-'Data Model Calculations'!I570</f>
        <v>64.501329380873571</v>
      </c>
      <c r="K570" s="45">
        <f t="shared" si="97"/>
        <v>53.62579153765752</v>
      </c>
      <c r="L570" s="46">
        <f t="shared" si="98"/>
        <v>726608418343722.25</v>
      </c>
      <c r="M570" s="47">
        <f>D570/1000*('System Assumptions'!$F$20*1000000)</f>
        <v>276691425000.00018</v>
      </c>
      <c r="N570" s="48"/>
      <c r="O570" s="49">
        <f>(F570/1000)*('System Assumptions'!$F$21*1000000)</f>
        <v>6427291623373.3125</v>
      </c>
      <c r="P570" s="49">
        <f t="shared" si="93"/>
        <v>-6716747483345.4854</v>
      </c>
      <c r="Q570" s="48">
        <f t="shared" si="99"/>
        <v>726595653908750</v>
      </c>
      <c r="R570" s="53">
        <f t="shared" si="100"/>
        <v>53.624849485636595</v>
      </c>
      <c r="S570" s="52">
        <v>35</v>
      </c>
    </row>
    <row r="571" spans="1:19">
      <c r="A571" s="3">
        <f t="shared" si="95"/>
        <v>48</v>
      </c>
      <c r="B571" s="3">
        <f t="shared" si="94"/>
        <v>569</v>
      </c>
      <c r="C571" s="40">
        <f t="shared" si="96"/>
        <v>13549607334.625124</v>
      </c>
      <c r="D571" s="41">
        <f>'System Assumptions'!$E$11/12</f>
        <v>75242280</v>
      </c>
      <c r="E571" s="41">
        <f>-'System Assumptions'!$E$10/12</f>
        <v>-133627000</v>
      </c>
      <c r="F571" s="41">
        <f>IF(I570&lt;'System Assumptions'!$E$29,'Hydrological Data Model'!$E$33/12,'Hydrological Data Model'!$E$33/12)</f>
        <v>183636903.52495179</v>
      </c>
      <c r="G571" s="42">
        <f>IF(I570&lt;'System Assumptions'!$E$29,0,-(MIN('Hydrological Data Model'!$E$34,'Hydrological Data Model'!$E$33-'System Assumptions'!$E$12))/12)</f>
        <v>-125252183.52495177</v>
      </c>
      <c r="H571" s="42">
        <f t="shared" si="92"/>
        <v>13549607334.625124</v>
      </c>
      <c r="I571" s="106">
        <f>H571/'System Assumptions'!$F$15</f>
        <v>15.252270619126433</v>
      </c>
      <c r="J571" s="42">
        <f>'System Assumptions'!$E$30+'System Assumptions'!$E$28-'Data Model Calculations'!I571</f>
        <v>64.501329380873571</v>
      </c>
      <c r="K571" s="45">
        <f t="shared" si="97"/>
        <v>53.624849485636595</v>
      </c>
      <c r="L571" s="46">
        <f t="shared" si="98"/>
        <v>726595653908750</v>
      </c>
      <c r="M571" s="47">
        <f>D571/1000*('System Assumptions'!$F$20*1000000)</f>
        <v>276691425000.00018</v>
      </c>
      <c r="N571" s="48"/>
      <c r="O571" s="49">
        <f>(F571/1000)*('System Assumptions'!$F$21*1000000)</f>
        <v>6427291623373.3125</v>
      </c>
      <c r="P571" s="49">
        <f t="shared" si="93"/>
        <v>-6716629489272.8701</v>
      </c>
      <c r="Q571" s="48">
        <f t="shared" si="99"/>
        <v>726583007467850.38</v>
      </c>
      <c r="R571" s="53">
        <f t="shared" si="100"/>
        <v>53.623916141917682</v>
      </c>
      <c r="S571" s="52">
        <v>35</v>
      </c>
    </row>
    <row r="572" spans="1:19">
      <c r="A572" s="3">
        <f t="shared" si="95"/>
        <v>48</v>
      </c>
      <c r="B572" s="3">
        <f t="shared" si="94"/>
        <v>570</v>
      </c>
      <c r="C572" s="40">
        <f t="shared" si="96"/>
        <v>13549607334.625124</v>
      </c>
      <c r="D572" s="41">
        <f>'System Assumptions'!$E$11/12</f>
        <v>75242280</v>
      </c>
      <c r="E572" s="41">
        <f>-'System Assumptions'!$E$10/12</f>
        <v>-133627000</v>
      </c>
      <c r="F572" s="41">
        <f>IF(I571&lt;'System Assumptions'!$E$29,'Hydrological Data Model'!$E$33/12,'Hydrological Data Model'!$E$33/12)</f>
        <v>183636903.52495179</v>
      </c>
      <c r="G572" s="42">
        <f>IF(I571&lt;'System Assumptions'!$E$29,0,-(MIN('Hydrological Data Model'!$E$34,'Hydrological Data Model'!$E$33-'System Assumptions'!$E$12))/12)</f>
        <v>-125252183.52495177</v>
      </c>
      <c r="H572" s="42">
        <f t="shared" si="92"/>
        <v>13549607334.625124</v>
      </c>
      <c r="I572" s="106">
        <f>H572/'System Assumptions'!$F$15</f>
        <v>15.252270619126433</v>
      </c>
      <c r="J572" s="42">
        <f>'System Assumptions'!$E$30+'System Assumptions'!$E$28-'Data Model Calculations'!I572</f>
        <v>64.501329380873571</v>
      </c>
      <c r="K572" s="45">
        <f t="shared" si="97"/>
        <v>53.623916141917682</v>
      </c>
      <c r="L572" s="46">
        <f t="shared" si="98"/>
        <v>726583007467850.38</v>
      </c>
      <c r="M572" s="47">
        <f>D572/1000*('System Assumptions'!$F$20*1000000)</f>
        <v>276691425000.00018</v>
      </c>
      <c r="N572" s="48"/>
      <c r="O572" s="49">
        <f>(F572/1000)*('System Assumptions'!$F$21*1000000)</f>
        <v>6427291623373.3125</v>
      </c>
      <c r="P572" s="49">
        <f t="shared" si="93"/>
        <v>-6716512585934.0967</v>
      </c>
      <c r="Q572" s="48">
        <f t="shared" si="99"/>
        <v>726570477930289.63</v>
      </c>
      <c r="R572" s="53">
        <f t="shared" si="100"/>
        <v>53.62299142600147</v>
      </c>
      <c r="S572" s="52">
        <v>35</v>
      </c>
    </row>
    <row r="573" spans="1:19">
      <c r="A573" s="3">
        <f t="shared" si="95"/>
        <v>48</v>
      </c>
      <c r="B573" s="3">
        <f t="shared" si="94"/>
        <v>571</v>
      </c>
      <c r="C573" s="40">
        <f t="shared" si="96"/>
        <v>13549607334.625124</v>
      </c>
      <c r="D573" s="41">
        <f>'System Assumptions'!$E$11/12</f>
        <v>75242280</v>
      </c>
      <c r="E573" s="41">
        <f>-'System Assumptions'!$E$10/12</f>
        <v>-133627000</v>
      </c>
      <c r="F573" s="41">
        <f>IF(I572&lt;'System Assumptions'!$E$29,'Hydrological Data Model'!$E$33/12,'Hydrological Data Model'!$E$33/12)</f>
        <v>183636903.52495179</v>
      </c>
      <c r="G573" s="42">
        <f>IF(I572&lt;'System Assumptions'!$E$29,0,-(MIN('Hydrological Data Model'!$E$34,'Hydrological Data Model'!$E$33-'System Assumptions'!$E$12))/12)</f>
        <v>-125252183.52495177</v>
      </c>
      <c r="H573" s="42">
        <f t="shared" si="92"/>
        <v>13549607334.625124</v>
      </c>
      <c r="I573" s="106">
        <f>H573/'System Assumptions'!$F$15</f>
        <v>15.252270619126433</v>
      </c>
      <c r="J573" s="42">
        <f>'System Assumptions'!$E$30+'System Assumptions'!$E$28-'Data Model Calculations'!I573</f>
        <v>64.501329380873571</v>
      </c>
      <c r="K573" s="45">
        <f t="shared" si="97"/>
        <v>53.62299142600147</v>
      </c>
      <c r="L573" s="46">
        <f t="shared" si="98"/>
        <v>726570477930289.63</v>
      </c>
      <c r="M573" s="47">
        <f>D573/1000*('System Assumptions'!$F$20*1000000)</f>
        <v>276691425000.00018</v>
      </c>
      <c r="N573" s="48"/>
      <c r="O573" s="49">
        <f>(F573/1000)*('System Assumptions'!$F$21*1000000)</f>
        <v>6427291623373.3125</v>
      </c>
      <c r="P573" s="49">
        <f t="shared" si="93"/>
        <v>-6716396763246.4512</v>
      </c>
      <c r="Q573" s="48">
        <f t="shared" si="99"/>
        <v>726558064215416.5</v>
      </c>
      <c r="R573" s="53">
        <f t="shared" si="100"/>
        <v>53.622075258132789</v>
      </c>
      <c r="S573" s="52">
        <v>35</v>
      </c>
    </row>
    <row r="574" spans="1:19">
      <c r="A574" s="3">
        <f t="shared" si="95"/>
        <v>48</v>
      </c>
      <c r="B574" s="3">
        <f t="shared" si="94"/>
        <v>572</v>
      </c>
      <c r="C574" s="40">
        <f t="shared" si="96"/>
        <v>13549607334.625124</v>
      </c>
      <c r="D574" s="41">
        <f>'System Assumptions'!$E$11/12</f>
        <v>75242280</v>
      </c>
      <c r="E574" s="41">
        <f>-'System Assumptions'!$E$10/12</f>
        <v>-133627000</v>
      </c>
      <c r="F574" s="41">
        <f>IF(I573&lt;'System Assumptions'!$E$29,'Hydrological Data Model'!$E$33/12,'Hydrological Data Model'!$E$33/12)</f>
        <v>183636903.52495179</v>
      </c>
      <c r="G574" s="42">
        <f>IF(I573&lt;'System Assumptions'!$E$29,0,-(MIN('Hydrological Data Model'!$E$34,'Hydrological Data Model'!$E$33-'System Assumptions'!$E$12))/12)</f>
        <v>-125252183.52495177</v>
      </c>
      <c r="H574" s="42">
        <f t="shared" si="92"/>
        <v>13549607334.625124</v>
      </c>
      <c r="I574" s="106">
        <f>H574/'System Assumptions'!$F$15</f>
        <v>15.252270619126433</v>
      </c>
      <c r="J574" s="42">
        <f>'System Assumptions'!$E$30+'System Assumptions'!$E$28-'Data Model Calculations'!I574</f>
        <v>64.501329380873571</v>
      </c>
      <c r="K574" s="45">
        <f t="shared" si="97"/>
        <v>53.622075258132789</v>
      </c>
      <c r="L574" s="46">
        <f t="shared" si="98"/>
        <v>726558064215416.5</v>
      </c>
      <c r="M574" s="47">
        <f>D574/1000*('System Assumptions'!$F$20*1000000)</f>
        <v>276691425000.00018</v>
      </c>
      <c r="N574" s="48"/>
      <c r="O574" s="49">
        <f>(F574/1000)*('System Assumptions'!$F$21*1000000)</f>
        <v>6427291623373.3125</v>
      </c>
      <c r="P574" s="49">
        <f t="shared" si="93"/>
        <v>-6716282011220.4229</v>
      </c>
      <c r="Q574" s="48">
        <f t="shared" si="99"/>
        <v>726545765252569.38</v>
      </c>
      <c r="R574" s="53">
        <f t="shared" si="100"/>
        <v>53.621167559293752</v>
      </c>
      <c r="S574" s="52">
        <v>35</v>
      </c>
    </row>
    <row r="575" spans="1:19">
      <c r="A575" s="3">
        <f t="shared" si="95"/>
        <v>48</v>
      </c>
      <c r="B575" s="3">
        <f t="shared" si="94"/>
        <v>573</v>
      </c>
      <c r="C575" s="40">
        <f t="shared" si="96"/>
        <v>13549607334.625124</v>
      </c>
      <c r="D575" s="41">
        <f>'System Assumptions'!$E$11/12</f>
        <v>75242280</v>
      </c>
      <c r="E575" s="41">
        <f>-'System Assumptions'!$E$10/12</f>
        <v>-133627000</v>
      </c>
      <c r="F575" s="41">
        <f>IF(I574&lt;'System Assumptions'!$E$29,'Hydrological Data Model'!$E$33/12,'Hydrological Data Model'!$E$33/12)</f>
        <v>183636903.52495179</v>
      </c>
      <c r="G575" s="42">
        <f>IF(I574&lt;'System Assumptions'!$E$29,0,-(MIN('Hydrological Data Model'!$E$34,'Hydrological Data Model'!$E$33-'System Assumptions'!$E$12))/12)</f>
        <v>-125252183.52495177</v>
      </c>
      <c r="H575" s="42">
        <f t="shared" si="92"/>
        <v>13549607334.625124</v>
      </c>
      <c r="I575" s="106">
        <f>H575/'System Assumptions'!$F$15</f>
        <v>15.252270619126433</v>
      </c>
      <c r="J575" s="42">
        <f>'System Assumptions'!$E$30+'System Assumptions'!$E$28-'Data Model Calculations'!I575</f>
        <v>64.501329380873571</v>
      </c>
      <c r="K575" s="45">
        <f t="shared" si="97"/>
        <v>53.621167559293752</v>
      </c>
      <c r="L575" s="46">
        <f t="shared" si="98"/>
        <v>726545765252569.38</v>
      </c>
      <c r="M575" s="47">
        <f>D575/1000*('System Assumptions'!$F$20*1000000)</f>
        <v>276691425000.00018</v>
      </c>
      <c r="N575" s="48"/>
      <c r="O575" s="49">
        <f>(F575/1000)*('System Assumptions'!$F$21*1000000)</f>
        <v>6427291623373.3125</v>
      </c>
      <c r="P575" s="49">
        <f t="shared" si="93"/>
        <v>-6716168319958.8506</v>
      </c>
      <c r="Q575" s="48">
        <f t="shared" si="99"/>
        <v>726533579980983.88</v>
      </c>
      <c r="R575" s="53">
        <f t="shared" si="100"/>
        <v>53.620268251196883</v>
      </c>
      <c r="S575" s="52">
        <v>35</v>
      </c>
    </row>
    <row r="576" spans="1:19">
      <c r="A576" s="3">
        <f t="shared" si="95"/>
        <v>48</v>
      </c>
      <c r="B576" s="3">
        <f t="shared" si="94"/>
        <v>574</v>
      </c>
      <c r="C576" s="40">
        <f t="shared" si="96"/>
        <v>13549607334.625124</v>
      </c>
      <c r="D576" s="41">
        <f>'System Assumptions'!$E$11/12</f>
        <v>75242280</v>
      </c>
      <c r="E576" s="41">
        <f>-'System Assumptions'!$E$10/12</f>
        <v>-133627000</v>
      </c>
      <c r="F576" s="41">
        <f>IF(I575&lt;'System Assumptions'!$E$29,'Hydrological Data Model'!$E$33/12,'Hydrological Data Model'!$E$33/12)</f>
        <v>183636903.52495179</v>
      </c>
      <c r="G576" s="42">
        <f>IF(I575&lt;'System Assumptions'!$E$29,0,-(MIN('Hydrological Data Model'!$E$34,'Hydrological Data Model'!$E$33-'System Assumptions'!$E$12))/12)</f>
        <v>-125252183.52495177</v>
      </c>
      <c r="H576" s="42">
        <f t="shared" si="92"/>
        <v>13549607334.625124</v>
      </c>
      <c r="I576" s="106">
        <f>H576/'System Assumptions'!$F$15</f>
        <v>15.252270619126433</v>
      </c>
      <c r="J576" s="42">
        <f>'System Assumptions'!$E$30+'System Assumptions'!$E$28-'Data Model Calculations'!I576</f>
        <v>64.501329380873571</v>
      </c>
      <c r="K576" s="45">
        <f t="shared" si="97"/>
        <v>53.620268251196883</v>
      </c>
      <c r="L576" s="46">
        <f t="shared" si="98"/>
        <v>726533579980983.88</v>
      </c>
      <c r="M576" s="47">
        <f>D576/1000*('System Assumptions'!$F$20*1000000)</f>
        <v>276691425000.00018</v>
      </c>
      <c r="N576" s="48"/>
      <c r="O576" s="49">
        <f>(F576/1000)*('System Assumptions'!$F$21*1000000)</f>
        <v>6427291623373.3125</v>
      </c>
      <c r="P576" s="49">
        <f t="shared" si="93"/>
        <v>-6716055679656.0557</v>
      </c>
      <c r="Q576" s="48">
        <f t="shared" si="99"/>
        <v>726521507349701.25</v>
      </c>
      <c r="R576" s="53">
        <f t="shared" si="100"/>
        <v>53.619377256278391</v>
      </c>
      <c r="S576" s="52">
        <v>35</v>
      </c>
    </row>
    <row r="577" spans="1:19">
      <c r="A577" s="3">
        <f t="shared" si="95"/>
        <v>48</v>
      </c>
      <c r="B577" s="3">
        <f t="shared" si="94"/>
        <v>575</v>
      </c>
      <c r="C577" s="40">
        <f t="shared" si="96"/>
        <v>13549607334.625124</v>
      </c>
      <c r="D577" s="41">
        <f>'System Assumptions'!$E$11/12</f>
        <v>75242280</v>
      </c>
      <c r="E577" s="41">
        <f>-'System Assumptions'!$E$10/12</f>
        <v>-133627000</v>
      </c>
      <c r="F577" s="41">
        <f>IF(I576&lt;'System Assumptions'!$E$29,'Hydrological Data Model'!$E$33/12,'Hydrological Data Model'!$E$33/12)</f>
        <v>183636903.52495179</v>
      </c>
      <c r="G577" s="42">
        <f>IF(I576&lt;'System Assumptions'!$E$29,0,-(MIN('Hydrological Data Model'!$E$34,'Hydrological Data Model'!$E$33-'System Assumptions'!$E$12))/12)</f>
        <v>-125252183.52495177</v>
      </c>
      <c r="H577" s="42">
        <f t="shared" si="92"/>
        <v>13549607334.625124</v>
      </c>
      <c r="I577" s="106">
        <f>H577/'System Assumptions'!$F$15</f>
        <v>15.252270619126433</v>
      </c>
      <c r="J577" s="42">
        <f>'System Assumptions'!$E$30+'System Assumptions'!$E$28-'Data Model Calculations'!I577</f>
        <v>64.501329380873571</v>
      </c>
      <c r="K577" s="45">
        <f t="shared" si="97"/>
        <v>53.619377256278391</v>
      </c>
      <c r="L577" s="46">
        <f t="shared" si="98"/>
        <v>726521507349701.25</v>
      </c>
      <c r="M577" s="47">
        <f>D577/1000*('System Assumptions'!$F$20*1000000)</f>
        <v>276691425000.00018</v>
      </c>
      <c r="N577" s="48"/>
      <c r="O577" s="49">
        <f>(F577/1000)*('System Assumptions'!$F$21*1000000)</f>
        <v>6427291623373.3125</v>
      </c>
      <c r="P577" s="49">
        <f t="shared" si="93"/>
        <v>-6715944080597.0059</v>
      </c>
      <c r="Q577" s="48">
        <f t="shared" si="99"/>
        <v>726509546317477.5</v>
      </c>
      <c r="R577" s="53">
        <f t="shared" si="100"/>
        <v>53.618494497691493</v>
      </c>
      <c r="S577" s="52">
        <v>35</v>
      </c>
    </row>
    <row r="578" spans="1:19">
      <c r="A578" s="3">
        <f t="shared" ref="A578:A641" si="101">IF(MOD(B578,12)=1,A577+1,A577)</f>
        <v>48</v>
      </c>
      <c r="B578" s="3">
        <f t="shared" si="94"/>
        <v>576</v>
      </c>
      <c r="C578" s="40">
        <f t="shared" ref="C578:C641" si="102">H577</f>
        <v>13549607334.625124</v>
      </c>
      <c r="D578" s="41">
        <f>'System Assumptions'!$E$11/12</f>
        <v>75242280</v>
      </c>
      <c r="E578" s="41">
        <f>-'System Assumptions'!$E$10/12</f>
        <v>-133627000</v>
      </c>
      <c r="F578" s="41">
        <f>IF(I577&lt;'System Assumptions'!$E$29,'Hydrological Data Model'!$E$33/12,'Hydrological Data Model'!$E$33/12)</f>
        <v>183636903.52495179</v>
      </c>
      <c r="G578" s="42">
        <f>IF(I577&lt;'System Assumptions'!$E$29,0,-(MIN('Hydrological Data Model'!$E$34,'Hydrological Data Model'!$E$33-'System Assumptions'!$E$12))/12)</f>
        <v>-125252183.52495177</v>
      </c>
      <c r="H578" s="42">
        <f t="shared" si="92"/>
        <v>13549607334.625124</v>
      </c>
      <c r="I578" s="106">
        <f>H578/'System Assumptions'!$F$15</f>
        <v>15.252270619126433</v>
      </c>
      <c r="J578" s="42">
        <f>'System Assumptions'!$E$30+'System Assumptions'!$E$28-'Data Model Calculations'!I578</f>
        <v>64.501329380873571</v>
      </c>
      <c r="K578" s="45">
        <f t="shared" ref="K578:K641" si="103">R577</f>
        <v>53.618494497691493</v>
      </c>
      <c r="L578" s="46">
        <f t="shared" ref="L578:L641" si="104">Q577</f>
        <v>726509546317477.5</v>
      </c>
      <c r="M578" s="47">
        <f>D578/1000*('System Assumptions'!$F$20*1000000)</f>
        <v>276691425000.00018</v>
      </c>
      <c r="N578" s="48"/>
      <c r="O578" s="49">
        <f>(F578/1000)*('System Assumptions'!$F$21*1000000)</f>
        <v>6427291623373.3125</v>
      </c>
      <c r="P578" s="49">
        <f t="shared" si="93"/>
        <v>-6715833513156.4707</v>
      </c>
      <c r="Q578" s="48">
        <f t="shared" ref="Q578:Q641" si="105">SUM(L578:P578)</f>
        <v>726497695852694.25</v>
      </c>
      <c r="R578" s="53">
        <f t="shared" ref="R578:R641" si="106">(Q578*1000)/(H578*1000000)</f>
        <v>53.617619899299775</v>
      </c>
      <c r="S578" s="52">
        <v>35</v>
      </c>
    </row>
    <row r="579" spans="1:19">
      <c r="A579" s="3">
        <f t="shared" si="101"/>
        <v>49</v>
      </c>
      <c r="B579" s="3">
        <f t="shared" si="94"/>
        <v>577</v>
      </c>
      <c r="C579" s="40">
        <f t="shared" si="102"/>
        <v>13549607334.625124</v>
      </c>
      <c r="D579" s="41">
        <f>'System Assumptions'!$E$11/12</f>
        <v>75242280</v>
      </c>
      <c r="E579" s="41">
        <f>-'System Assumptions'!$E$10/12</f>
        <v>-133627000</v>
      </c>
      <c r="F579" s="41">
        <f>IF(I578&lt;'System Assumptions'!$E$29,'Hydrological Data Model'!$E$33/12,'Hydrological Data Model'!$E$33/12)</f>
        <v>183636903.52495179</v>
      </c>
      <c r="G579" s="42">
        <f>IF(I578&lt;'System Assumptions'!$E$29,0,-(MIN('Hydrological Data Model'!$E$34,'Hydrological Data Model'!$E$33-'System Assumptions'!$E$12))/12)</f>
        <v>-125252183.52495177</v>
      </c>
      <c r="H579" s="42">
        <f t="shared" ref="H579:H642" si="107">SUM(C579:G579)</f>
        <v>13549607334.625124</v>
      </c>
      <c r="I579" s="106">
        <f>H579/'System Assumptions'!$F$15</f>
        <v>15.252270619126433</v>
      </c>
      <c r="J579" s="42">
        <f>'System Assumptions'!$E$30+'System Assumptions'!$E$28-'Data Model Calculations'!I579</f>
        <v>64.501329380873571</v>
      </c>
      <c r="K579" s="45">
        <f t="shared" si="103"/>
        <v>53.617619899299775</v>
      </c>
      <c r="L579" s="46">
        <f t="shared" si="104"/>
        <v>726497695852694.25</v>
      </c>
      <c r="M579" s="47">
        <f>D579/1000*('System Assumptions'!$F$20*1000000)</f>
        <v>276691425000.00018</v>
      </c>
      <c r="N579" s="48"/>
      <c r="O579" s="49">
        <f>(F579/1000)*('System Assumptions'!$F$21*1000000)</f>
        <v>6427291623373.3125</v>
      </c>
      <c r="P579" s="49">
        <f t="shared" ref="P579:P642" si="108">(G579*1000000)*K579/1000</f>
        <v>-6715723967798.2012</v>
      </c>
      <c r="Q579" s="48">
        <f t="shared" si="105"/>
        <v>726485954933269.25</v>
      </c>
      <c r="R579" s="53">
        <f t="shared" si="106"/>
        <v>53.616753385670634</v>
      </c>
      <c r="S579" s="52">
        <v>35</v>
      </c>
    </row>
    <row r="580" spans="1:19">
      <c r="A580" s="3">
        <f t="shared" si="101"/>
        <v>49</v>
      </c>
      <c r="B580" s="3">
        <f t="shared" si="94"/>
        <v>578</v>
      </c>
      <c r="C580" s="40">
        <f t="shared" si="102"/>
        <v>13549607334.625124</v>
      </c>
      <c r="D580" s="41">
        <f>'System Assumptions'!$E$11/12</f>
        <v>75242280</v>
      </c>
      <c r="E580" s="41">
        <f>-'System Assumptions'!$E$10/12</f>
        <v>-133627000</v>
      </c>
      <c r="F580" s="41">
        <f>IF(I579&lt;'System Assumptions'!$E$29,'Hydrological Data Model'!$E$33/12,'Hydrological Data Model'!$E$33/12)</f>
        <v>183636903.52495179</v>
      </c>
      <c r="G580" s="42">
        <f>IF(I579&lt;'System Assumptions'!$E$29,0,-(MIN('Hydrological Data Model'!$E$34,'Hydrological Data Model'!$E$33-'System Assumptions'!$E$12))/12)</f>
        <v>-125252183.52495177</v>
      </c>
      <c r="H580" s="42">
        <f t="shared" si="107"/>
        <v>13549607334.625124</v>
      </c>
      <c r="I580" s="106">
        <f>H580/'System Assumptions'!$F$15</f>
        <v>15.252270619126433</v>
      </c>
      <c r="J580" s="42">
        <f>'System Assumptions'!$E$30+'System Assumptions'!$E$28-'Data Model Calculations'!I580</f>
        <v>64.501329380873571</v>
      </c>
      <c r="K580" s="45">
        <f t="shared" si="103"/>
        <v>53.616753385670634</v>
      </c>
      <c r="L580" s="46">
        <f t="shared" si="104"/>
        <v>726485954933269.25</v>
      </c>
      <c r="M580" s="47">
        <f>D580/1000*('System Assumptions'!$F$20*1000000)</f>
        <v>276691425000.00018</v>
      </c>
      <c r="N580" s="48"/>
      <c r="O580" s="49">
        <f>(F580/1000)*('System Assumptions'!$F$21*1000000)</f>
        <v>6427291623373.3125</v>
      </c>
      <c r="P580" s="49">
        <f t="shared" si="108"/>
        <v>-6715615435074.0967</v>
      </c>
      <c r="Q580" s="48">
        <f t="shared" si="105"/>
        <v>726474322546568.38</v>
      </c>
      <c r="R580" s="53">
        <f t="shared" si="106"/>
        <v>53.615894882068744</v>
      </c>
      <c r="S580" s="52">
        <v>35</v>
      </c>
    </row>
    <row r="581" spans="1:19">
      <c r="A581" s="3">
        <f t="shared" si="101"/>
        <v>49</v>
      </c>
      <c r="B581" s="3">
        <f t="shared" si="94"/>
        <v>579</v>
      </c>
      <c r="C581" s="40">
        <f t="shared" si="102"/>
        <v>13549607334.625124</v>
      </c>
      <c r="D581" s="41">
        <f>'System Assumptions'!$E$11/12</f>
        <v>75242280</v>
      </c>
      <c r="E581" s="41">
        <f>-'System Assumptions'!$E$10/12</f>
        <v>-133627000</v>
      </c>
      <c r="F581" s="41">
        <f>IF(I580&lt;'System Assumptions'!$E$29,'Hydrological Data Model'!$E$33/12,'Hydrological Data Model'!$E$33/12)</f>
        <v>183636903.52495179</v>
      </c>
      <c r="G581" s="42">
        <f>IF(I580&lt;'System Assumptions'!$E$29,0,-(MIN('Hydrological Data Model'!$E$34,'Hydrological Data Model'!$E$33-'System Assumptions'!$E$12))/12)</f>
        <v>-125252183.52495177</v>
      </c>
      <c r="H581" s="42">
        <f t="shared" si="107"/>
        <v>13549607334.625124</v>
      </c>
      <c r="I581" s="106">
        <f>H581/'System Assumptions'!$F$15</f>
        <v>15.252270619126433</v>
      </c>
      <c r="J581" s="42">
        <f>'System Assumptions'!$E$30+'System Assumptions'!$E$28-'Data Model Calculations'!I581</f>
        <v>64.501329380873571</v>
      </c>
      <c r="K581" s="45">
        <f t="shared" si="103"/>
        <v>53.615894882068744</v>
      </c>
      <c r="L581" s="46">
        <f t="shared" si="104"/>
        <v>726474322546568.38</v>
      </c>
      <c r="M581" s="47">
        <f>D581/1000*('System Assumptions'!$F$20*1000000)</f>
        <v>276691425000.00018</v>
      </c>
      <c r="N581" s="48"/>
      <c r="O581" s="49">
        <f>(F581/1000)*('System Assumptions'!$F$21*1000000)</f>
        <v>6427291623373.3125</v>
      </c>
      <c r="P581" s="49">
        <f t="shared" si="108"/>
        <v>-6715507905623.3965</v>
      </c>
      <c r="Q581" s="48">
        <f t="shared" si="105"/>
        <v>726462797689318.38</v>
      </c>
      <c r="R581" s="53">
        <f t="shared" si="106"/>
        <v>53.615044314449676</v>
      </c>
      <c r="S581" s="52">
        <v>35</v>
      </c>
    </row>
    <row r="582" spans="1:19">
      <c r="A582" s="3">
        <f t="shared" si="101"/>
        <v>49</v>
      </c>
      <c r="B582" s="3">
        <f t="shared" si="94"/>
        <v>580</v>
      </c>
      <c r="C582" s="40">
        <f t="shared" si="102"/>
        <v>13549607334.625124</v>
      </c>
      <c r="D582" s="41">
        <f>'System Assumptions'!$E$11/12</f>
        <v>75242280</v>
      </c>
      <c r="E582" s="41">
        <f>-'System Assumptions'!$E$10/12</f>
        <v>-133627000</v>
      </c>
      <c r="F582" s="41">
        <f>IF(I581&lt;'System Assumptions'!$E$29,'Hydrological Data Model'!$E$33/12,'Hydrological Data Model'!$E$33/12)</f>
        <v>183636903.52495179</v>
      </c>
      <c r="G582" s="42">
        <f>IF(I581&lt;'System Assumptions'!$E$29,0,-(MIN('Hydrological Data Model'!$E$34,'Hydrological Data Model'!$E$33-'System Assumptions'!$E$12))/12)</f>
        <v>-125252183.52495177</v>
      </c>
      <c r="H582" s="42">
        <f t="shared" si="107"/>
        <v>13549607334.625124</v>
      </c>
      <c r="I582" s="106">
        <f>H582/'System Assumptions'!$F$15</f>
        <v>15.252270619126433</v>
      </c>
      <c r="J582" s="42">
        <f>'System Assumptions'!$E$30+'System Assumptions'!$E$28-'Data Model Calculations'!I582</f>
        <v>64.501329380873571</v>
      </c>
      <c r="K582" s="45">
        <f t="shared" si="103"/>
        <v>53.615044314449676</v>
      </c>
      <c r="L582" s="46">
        <f t="shared" si="104"/>
        <v>726462797689318.38</v>
      </c>
      <c r="M582" s="47">
        <f>D582/1000*('System Assumptions'!$F$20*1000000)</f>
        <v>276691425000.00018</v>
      </c>
      <c r="N582" s="48"/>
      <c r="O582" s="49">
        <f>(F582/1000)*('System Assumptions'!$F$21*1000000)</f>
        <v>6427291623373.3125</v>
      </c>
      <c r="P582" s="49">
        <f t="shared" si="108"/>
        <v>-6715401370171.873</v>
      </c>
      <c r="Q582" s="48">
        <f t="shared" si="105"/>
        <v>726451379367519.88</v>
      </c>
      <c r="R582" s="53">
        <f t="shared" si="106"/>
        <v>53.614201609453396</v>
      </c>
      <c r="S582" s="52">
        <v>35</v>
      </c>
    </row>
    <row r="583" spans="1:19">
      <c r="A583" s="3">
        <f t="shared" si="101"/>
        <v>49</v>
      </c>
      <c r="B583" s="3">
        <f t="shared" si="94"/>
        <v>581</v>
      </c>
      <c r="C583" s="40">
        <f t="shared" si="102"/>
        <v>13549607334.625124</v>
      </c>
      <c r="D583" s="41">
        <f>'System Assumptions'!$E$11/12</f>
        <v>75242280</v>
      </c>
      <c r="E583" s="41">
        <f>-'System Assumptions'!$E$10/12</f>
        <v>-133627000</v>
      </c>
      <c r="F583" s="41">
        <f>IF(I582&lt;'System Assumptions'!$E$29,'Hydrological Data Model'!$E$33/12,'Hydrological Data Model'!$E$33/12)</f>
        <v>183636903.52495179</v>
      </c>
      <c r="G583" s="42">
        <f>IF(I582&lt;'System Assumptions'!$E$29,0,-(MIN('Hydrological Data Model'!$E$34,'Hydrological Data Model'!$E$33-'System Assumptions'!$E$12))/12)</f>
        <v>-125252183.52495177</v>
      </c>
      <c r="H583" s="42">
        <f t="shared" si="107"/>
        <v>13549607334.625124</v>
      </c>
      <c r="I583" s="106">
        <f>H583/'System Assumptions'!$F$15</f>
        <v>15.252270619126433</v>
      </c>
      <c r="J583" s="42">
        <f>'System Assumptions'!$E$30+'System Assumptions'!$E$28-'Data Model Calculations'!I583</f>
        <v>64.501329380873571</v>
      </c>
      <c r="K583" s="45">
        <f t="shared" si="103"/>
        <v>53.614201609453396</v>
      </c>
      <c r="L583" s="46">
        <f t="shared" si="104"/>
        <v>726451379367519.88</v>
      </c>
      <c r="M583" s="47">
        <f>D583/1000*('System Assumptions'!$F$20*1000000)</f>
        <v>276691425000.00018</v>
      </c>
      <c r="N583" s="48"/>
      <c r="O583" s="49">
        <f>(F583/1000)*('System Assumptions'!$F$21*1000000)</f>
        <v>6427291623373.3125</v>
      </c>
      <c r="P583" s="49">
        <f t="shared" si="108"/>
        <v>-6715295819531.0215</v>
      </c>
      <c r="Q583" s="48">
        <f t="shared" si="105"/>
        <v>726440066596362.25</v>
      </c>
      <c r="R583" s="53">
        <f t="shared" si="106"/>
        <v>53.613366694398053</v>
      </c>
      <c r="S583" s="52">
        <v>35</v>
      </c>
    </row>
    <row r="584" spans="1:19">
      <c r="A584" s="3">
        <f t="shared" si="101"/>
        <v>49</v>
      </c>
      <c r="B584" s="3">
        <f t="shared" si="94"/>
        <v>582</v>
      </c>
      <c r="C584" s="40">
        <f t="shared" si="102"/>
        <v>13549607334.625124</v>
      </c>
      <c r="D584" s="41">
        <f>'System Assumptions'!$E$11/12</f>
        <v>75242280</v>
      </c>
      <c r="E584" s="41">
        <f>-'System Assumptions'!$E$10/12</f>
        <v>-133627000</v>
      </c>
      <c r="F584" s="41">
        <f>IF(I583&lt;'System Assumptions'!$E$29,'Hydrological Data Model'!$E$33/12,'Hydrological Data Model'!$E$33/12)</f>
        <v>183636903.52495179</v>
      </c>
      <c r="G584" s="42">
        <f>IF(I583&lt;'System Assumptions'!$E$29,0,-(MIN('Hydrological Data Model'!$E$34,'Hydrological Data Model'!$E$33-'System Assumptions'!$E$12))/12)</f>
        <v>-125252183.52495177</v>
      </c>
      <c r="H584" s="42">
        <f t="shared" si="107"/>
        <v>13549607334.625124</v>
      </c>
      <c r="I584" s="106">
        <f>H584/'System Assumptions'!$F$15</f>
        <v>15.252270619126433</v>
      </c>
      <c r="J584" s="42">
        <f>'System Assumptions'!$E$30+'System Assumptions'!$E$28-'Data Model Calculations'!I584</f>
        <v>64.501329380873571</v>
      </c>
      <c r="K584" s="45">
        <f t="shared" si="103"/>
        <v>53.613366694398053</v>
      </c>
      <c r="L584" s="46">
        <f t="shared" si="104"/>
        <v>726440066596362.25</v>
      </c>
      <c r="M584" s="47">
        <f>D584/1000*('System Assumptions'!$F$20*1000000)</f>
        <v>276691425000.00018</v>
      </c>
      <c r="N584" s="48"/>
      <c r="O584" s="49">
        <f>(F584/1000)*('System Assumptions'!$F$21*1000000)</f>
        <v>6427291623373.3125</v>
      </c>
      <c r="P584" s="49">
        <f t="shared" si="108"/>
        <v>-6715191244597.2822</v>
      </c>
      <c r="Q584" s="48">
        <f t="shared" si="105"/>
        <v>726428858400138.25</v>
      </c>
      <c r="R584" s="53">
        <f t="shared" si="106"/>
        <v>53.612539497273652</v>
      </c>
      <c r="S584" s="52">
        <v>35</v>
      </c>
    </row>
    <row r="585" spans="1:19">
      <c r="A585" s="3">
        <f t="shared" si="101"/>
        <v>49</v>
      </c>
      <c r="B585" s="3">
        <f t="shared" si="94"/>
        <v>583</v>
      </c>
      <c r="C585" s="40">
        <f t="shared" si="102"/>
        <v>13549607334.625124</v>
      </c>
      <c r="D585" s="41">
        <f>'System Assumptions'!$E$11/12</f>
        <v>75242280</v>
      </c>
      <c r="E585" s="41">
        <f>-'System Assumptions'!$E$10/12</f>
        <v>-133627000</v>
      </c>
      <c r="F585" s="41">
        <f>IF(I584&lt;'System Assumptions'!$E$29,'Hydrological Data Model'!$E$33/12,'Hydrological Data Model'!$E$33/12)</f>
        <v>183636903.52495179</v>
      </c>
      <c r="G585" s="42">
        <f>IF(I584&lt;'System Assumptions'!$E$29,0,-(MIN('Hydrological Data Model'!$E$34,'Hydrological Data Model'!$E$33-'System Assumptions'!$E$12))/12)</f>
        <v>-125252183.52495177</v>
      </c>
      <c r="H585" s="42">
        <f t="shared" si="107"/>
        <v>13549607334.625124</v>
      </c>
      <c r="I585" s="106">
        <f>H585/'System Assumptions'!$F$15</f>
        <v>15.252270619126433</v>
      </c>
      <c r="J585" s="42">
        <f>'System Assumptions'!$E$30+'System Assumptions'!$E$28-'Data Model Calculations'!I585</f>
        <v>64.501329380873571</v>
      </c>
      <c r="K585" s="45">
        <f t="shared" si="103"/>
        <v>53.612539497273652</v>
      </c>
      <c r="L585" s="46">
        <f t="shared" si="104"/>
        <v>726428858400138.25</v>
      </c>
      <c r="M585" s="47">
        <f>D585/1000*('System Assumptions'!$F$20*1000000)</f>
        <v>276691425000.00018</v>
      </c>
      <c r="N585" s="48"/>
      <c r="O585" s="49">
        <f>(F585/1000)*('System Assumptions'!$F$21*1000000)</f>
        <v>6427291623373.3125</v>
      </c>
      <c r="P585" s="49">
        <f t="shared" si="108"/>
        <v>-6715087636351.2451</v>
      </c>
      <c r="Q585" s="48">
        <f t="shared" si="105"/>
        <v>726417753812160.25</v>
      </c>
      <c r="R585" s="53">
        <f t="shared" si="106"/>
        <v>53.61171994673586</v>
      </c>
      <c r="S585" s="52">
        <v>35</v>
      </c>
    </row>
    <row r="586" spans="1:19">
      <c r="A586" s="3">
        <f t="shared" si="101"/>
        <v>49</v>
      </c>
      <c r="B586" s="3">
        <f t="shared" si="94"/>
        <v>584</v>
      </c>
      <c r="C586" s="40">
        <f t="shared" si="102"/>
        <v>13549607334.625124</v>
      </c>
      <c r="D586" s="41">
        <f>'System Assumptions'!$E$11/12</f>
        <v>75242280</v>
      </c>
      <c r="E586" s="41">
        <f>-'System Assumptions'!$E$10/12</f>
        <v>-133627000</v>
      </c>
      <c r="F586" s="41">
        <f>IF(I585&lt;'System Assumptions'!$E$29,'Hydrological Data Model'!$E$33/12,'Hydrological Data Model'!$E$33/12)</f>
        <v>183636903.52495179</v>
      </c>
      <c r="G586" s="42">
        <f>IF(I585&lt;'System Assumptions'!$E$29,0,-(MIN('Hydrological Data Model'!$E$34,'Hydrological Data Model'!$E$33-'System Assumptions'!$E$12))/12)</f>
        <v>-125252183.52495177</v>
      </c>
      <c r="H586" s="42">
        <f t="shared" si="107"/>
        <v>13549607334.625124</v>
      </c>
      <c r="I586" s="106">
        <f>H586/'System Assumptions'!$F$15</f>
        <v>15.252270619126433</v>
      </c>
      <c r="J586" s="42">
        <f>'System Assumptions'!$E$30+'System Assumptions'!$E$28-'Data Model Calculations'!I586</f>
        <v>64.501329380873571</v>
      </c>
      <c r="K586" s="45">
        <f t="shared" si="103"/>
        <v>53.61171994673586</v>
      </c>
      <c r="L586" s="46">
        <f t="shared" si="104"/>
        <v>726417753812160.25</v>
      </c>
      <c r="M586" s="47">
        <f>D586/1000*('System Assumptions'!$F$20*1000000)</f>
        <v>276691425000.00018</v>
      </c>
      <c r="N586" s="48"/>
      <c r="O586" s="49">
        <f>(F586/1000)*('System Assumptions'!$F$21*1000000)</f>
        <v>6427291623373.3125</v>
      </c>
      <c r="P586" s="49">
        <f t="shared" si="108"/>
        <v>-6714984985856.877</v>
      </c>
      <c r="Q586" s="48">
        <f t="shared" si="105"/>
        <v>726406751874676.63</v>
      </c>
      <c r="R586" s="53">
        <f t="shared" si="106"/>
        <v>53.610907972099845</v>
      </c>
      <c r="S586" s="52">
        <v>35</v>
      </c>
    </row>
    <row r="587" spans="1:19">
      <c r="A587" s="3">
        <f t="shared" si="101"/>
        <v>49</v>
      </c>
      <c r="B587" s="3">
        <f t="shared" si="94"/>
        <v>585</v>
      </c>
      <c r="C587" s="40">
        <f t="shared" si="102"/>
        <v>13549607334.625124</v>
      </c>
      <c r="D587" s="41">
        <f>'System Assumptions'!$E$11/12</f>
        <v>75242280</v>
      </c>
      <c r="E587" s="41">
        <f>-'System Assumptions'!$E$10/12</f>
        <v>-133627000</v>
      </c>
      <c r="F587" s="41">
        <f>IF(I586&lt;'System Assumptions'!$E$29,'Hydrological Data Model'!$E$33/12,'Hydrological Data Model'!$E$33/12)</f>
        <v>183636903.52495179</v>
      </c>
      <c r="G587" s="42">
        <f>IF(I586&lt;'System Assumptions'!$E$29,0,-(MIN('Hydrological Data Model'!$E$34,'Hydrological Data Model'!$E$33-'System Assumptions'!$E$12))/12)</f>
        <v>-125252183.52495177</v>
      </c>
      <c r="H587" s="42">
        <f t="shared" si="107"/>
        <v>13549607334.625124</v>
      </c>
      <c r="I587" s="106">
        <f>H587/'System Assumptions'!$F$15</f>
        <v>15.252270619126433</v>
      </c>
      <c r="J587" s="42">
        <f>'System Assumptions'!$E$30+'System Assumptions'!$E$28-'Data Model Calculations'!I587</f>
        <v>64.501329380873571</v>
      </c>
      <c r="K587" s="45">
        <f t="shared" si="103"/>
        <v>53.610907972099845</v>
      </c>
      <c r="L587" s="46">
        <f t="shared" si="104"/>
        <v>726406751874676.63</v>
      </c>
      <c r="M587" s="47">
        <f>D587/1000*('System Assumptions'!$F$20*1000000)</f>
        <v>276691425000.00018</v>
      </c>
      <c r="N587" s="48"/>
      <c r="O587" s="49">
        <f>(F587/1000)*('System Assumptions'!$F$21*1000000)</f>
        <v>6427291623373.3125</v>
      </c>
      <c r="P587" s="49">
        <f t="shared" si="108"/>
        <v>-6714883284260.749</v>
      </c>
      <c r="Q587" s="48">
        <f t="shared" si="105"/>
        <v>726395851638789.25</v>
      </c>
      <c r="R587" s="53">
        <f t="shared" si="106"/>
        <v>53.610103503334209</v>
      </c>
      <c r="S587" s="52">
        <v>35</v>
      </c>
    </row>
    <row r="588" spans="1:19">
      <c r="A588" s="3">
        <f t="shared" si="101"/>
        <v>49</v>
      </c>
      <c r="B588" s="3">
        <f t="shared" si="94"/>
        <v>586</v>
      </c>
      <c r="C588" s="40">
        <f t="shared" si="102"/>
        <v>13549607334.625124</v>
      </c>
      <c r="D588" s="41">
        <f>'System Assumptions'!$E$11/12</f>
        <v>75242280</v>
      </c>
      <c r="E588" s="41">
        <f>-'System Assumptions'!$E$10/12</f>
        <v>-133627000</v>
      </c>
      <c r="F588" s="41">
        <f>IF(I587&lt;'System Assumptions'!$E$29,'Hydrological Data Model'!$E$33/12,'Hydrological Data Model'!$E$33/12)</f>
        <v>183636903.52495179</v>
      </c>
      <c r="G588" s="42">
        <f>IF(I587&lt;'System Assumptions'!$E$29,0,-(MIN('Hydrological Data Model'!$E$34,'Hydrological Data Model'!$E$33-'System Assumptions'!$E$12))/12)</f>
        <v>-125252183.52495177</v>
      </c>
      <c r="H588" s="42">
        <f t="shared" si="107"/>
        <v>13549607334.625124</v>
      </c>
      <c r="I588" s="106">
        <f>H588/'System Assumptions'!$F$15</f>
        <v>15.252270619126433</v>
      </c>
      <c r="J588" s="42">
        <f>'System Assumptions'!$E$30+'System Assumptions'!$E$28-'Data Model Calculations'!I588</f>
        <v>64.501329380873571</v>
      </c>
      <c r="K588" s="45">
        <f t="shared" si="103"/>
        <v>53.610103503334209</v>
      </c>
      <c r="L588" s="46">
        <f t="shared" si="104"/>
        <v>726395851638789.25</v>
      </c>
      <c r="M588" s="47">
        <f>D588/1000*('System Assumptions'!$F$20*1000000)</f>
        <v>276691425000.00018</v>
      </c>
      <c r="N588" s="48"/>
      <c r="O588" s="49">
        <f>(F588/1000)*('System Assumptions'!$F$21*1000000)</f>
        <v>6427291623373.3125</v>
      </c>
      <c r="P588" s="49">
        <f t="shared" si="108"/>
        <v>-6714782522791.2764</v>
      </c>
      <c r="Q588" s="48">
        <f t="shared" si="105"/>
        <v>726385052164371.25</v>
      </c>
      <c r="R588" s="53">
        <f t="shared" si="106"/>
        <v>53.609306471054872</v>
      </c>
      <c r="S588" s="52">
        <v>35</v>
      </c>
    </row>
    <row r="589" spans="1:19">
      <c r="A589" s="3">
        <f t="shared" si="101"/>
        <v>49</v>
      </c>
      <c r="B589" s="3">
        <f t="shared" si="94"/>
        <v>587</v>
      </c>
      <c r="C589" s="40">
        <f t="shared" si="102"/>
        <v>13549607334.625124</v>
      </c>
      <c r="D589" s="41">
        <f>'System Assumptions'!$E$11/12</f>
        <v>75242280</v>
      </c>
      <c r="E589" s="41">
        <f>-'System Assumptions'!$E$10/12</f>
        <v>-133627000</v>
      </c>
      <c r="F589" s="41">
        <f>IF(I588&lt;'System Assumptions'!$E$29,'Hydrological Data Model'!$E$33/12,'Hydrological Data Model'!$E$33/12)</f>
        <v>183636903.52495179</v>
      </c>
      <c r="G589" s="42">
        <f>IF(I588&lt;'System Assumptions'!$E$29,0,-(MIN('Hydrological Data Model'!$E$34,'Hydrological Data Model'!$E$33-'System Assumptions'!$E$12))/12)</f>
        <v>-125252183.52495177</v>
      </c>
      <c r="H589" s="42">
        <f t="shared" si="107"/>
        <v>13549607334.625124</v>
      </c>
      <c r="I589" s="106">
        <f>H589/'System Assumptions'!$F$15</f>
        <v>15.252270619126433</v>
      </c>
      <c r="J589" s="42">
        <f>'System Assumptions'!$E$30+'System Assumptions'!$E$28-'Data Model Calculations'!I589</f>
        <v>64.501329380873571</v>
      </c>
      <c r="K589" s="45">
        <f t="shared" si="103"/>
        <v>53.609306471054872</v>
      </c>
      <c r="L589" s="46">
        <f t="shared" si="104"/>
        <v>726385052164371.25</v>
      </c>
      <c r="M589" s="47">
        <f>D589/1000*('System Assumptions'!$F$20*1000000)</f>
        <v>276691425000.00018</v>
      </c>
      <c r="N589" s="48"/>
      <c r="O589" s="49">
        <f>(F589/1000)*('System Assumptions'!$F$21*1000000)</f>
        <v>6427291623373.3125</v>
      </c>
      <c r="P589" s="49">
        <f t="shared" si="108"/>
        <v>-6714682692757.9492</v>
      </c>
      <c r="Q589" s="48">
        <f t="shared" si="105"/>
        <v>726374352519986.5</v>
      </c>
      <c r="R589" s="53">
        <f t="shared" si="106"/>
        <v>53.608516806519184</v>
      </c>
      <c r="S589" s="52">
        <v>35</v>
      </c>
    </row>
    <row r="590" spans="1:19">
      <c r="A590" s="3">
        <f t="shared" si="101"/>
        <v>49</v>
      </c>
      <c r="B590" s="3">
        <f t="shared" si="94"/>
        <v>588</v>
      </c>
      <c r="C590" s="40">
        <f t="shared" si="102"/>
        <v>13549607334.625124</v>
      </c>
      <c r="D590" s="41">
        <f>'System Assumptions'!$E$11/12</f>
        <v>75242280</v>
      </c>
      <c r="E590" s="41">
        <f>-'System Assumptions'!$E$10/12</f>
        <v>-133627000</v>
      </c>
      <c r="F590" s="41">
        <f>IF(I589&lt;'System Assumptions'!$E$29,'Hydrological Data Model'!$E$33/12,'Hydrological Data Model'!$E$33/12)</f>
        <v>183636903.52495179</v>
      </c>
      <c r="G590" s="42">
        <f>IF(I589&lt;'System Assumptions'!$E$29,0,-(MIN('Hydrological Data Model'!$E$34,'Hydrological Data Model'!$E$33-'System Assumptions'!$E$12))/12)</f>
        <v>-125252183.52495177</v>
      </c>
      <c r="H590" s="42">
        <f t="shared" si="107"/>
        <v>13549607334.625124</v>
      </c>
      <c r="I590" s="106">
        <f>H590/'System Assumptions'!$F$15</f>
        <v>15.252270619126433</v>
      </c>
      <c r="J590" s="42">
        <f>'System Assumptions'!$E$30+'System Assumptions'!$E$28-'Data Model Calculations'!I590</f>
        <v>64.501329380873571</v>
      </c>
      <c r="K590" s="45">
        <f t="shared" si="103"/>
        <v>53.608516806519184</v>
      </c>
      <c r="L590" s="46">
        <f t="shared" si="104"/>
        <v>726374352519986.5</v>
      </c>
      <c r="M590" s="47">
        <f>D590/1000*('System Assumptions'!$F$20*1000000)</f>
        <v>276691425000.00018</v>
      </c>
      <c r="N590" s="48"/>
      <c r="O590" s="49">
        <f>(F590/1000)*('System Assumptions'!$F$21*1000000)</f>
        <v>6427291623373.3125</v>
      </c>
      <c r="P590" s="49">
        <f t="shared" si="108"/>
        <v>-6714583785550.6016</v>
      </c>
      <c r="Q590" s="48">
        <f t="shared" si="105"/>
        <v>726363751782809.13</v>
      </c>
      <c r="R590" s="53">
        <f t="shared" si="106"/>
        <v>53.607734441619918</v>
      </c>
      <c r="S590" s="52">
        <v>35</v>
      </c>
    </row>
    <row r="591" spans="1:19">
      <c r="A591" s="3">
        <f t="shared" si="101"/>
        <v>50</v>
      </c>
      <c r="B591" s="3">
        <f t="shared" si="94"/>
        <v>589</v>
      </c>
      <c r="C591" s="40">
        <f t="shared" si="102"/>
        <v>13549607334.625124</v>
      </c>
      <c r="D591" s="41">
        <f>'System Assumptions'!$E$11/12</f>
        <v>75242280</v>
      </c>
      <c r="E591" s="41">
        <f>-'System Assumptions'!$E$10/12</f>
        <v>-133627000</v>
      </c>
      <c r="F591" s="41">
        <f>IF(I590&lt;'System Assumptions'!$E$29,'Hydrological Data Model'!$E$33/12,'Hydrological Data Model'!$E$33/12)</f>
        <v>183636903.52495179</v>
      </c>
      <c r="G591" s="42">
        <f>IF(I590&lt;'System Assumptions'!$E$29,0,-(MIN('Hydrological Data Model'!$E$34,'Hydrological Data Model'!$E$33-'System Assumptions'!$E$12))/12)</f>
        <v>-125252183.52495177</v>
      </c>
      <c r="H591" s="42">
        <f t="shared" si="107"/>
        <v>13549607334.625124</v>
      </c>
      <c r="I591" s="106">
        <f>H591/'System Assumptions'!$F$15</f>
        <v>15.252270619126433</v>
      </c>
      <c r="J591" s="42">
        <f>'System Assumptions'!$E$30+'System Assumptions'!$E$28-'Data Model Calculations'!I591</f>
        <v>64.501329380873571</v>
      </c>
      <c r="K591" s="45">
        <f t="shared" si="103"/>
        <v>53.607734441619918</v>
      </c>
      <c r="L591" s="46">
        <f t="shared" si="104"/>
        <v>726363751782809.13</v>
      </c>
      <c r="M591" s="47">
        <f>D591/1000*('System Assumptions'!$F$20*1000000)</f>
        <v>276691425000.00018</v>
      </c>
      <c r="N591" s="48"/>
      <c r="O591" s="49">
        <f>(F591/1000)*('System Assumptions'!$F$21*1000000)</f>
        <v>6427291623373.3125</v>
      </c>
      <c r="P591" s="49">
        <f t="shared" si="108"/>
        <v>-6714485792638.6563</v>
      </c>
      <c r="Q591" s="48">
        <f t="shared" si="105"/>
        <v>726353249038543.88</v>
      </c>
      <c r="R591" s="53">
        <f t="shared" si="106"/>
        <v>53.606959308879475</v>
      </c>
      <c r="S591" s="52">
        <v>35</v>
      </c>
    </row>
    <row r="592" spans="1:19">
      <c r="A592" s="3">
        <f t="shared" si="101"/>
        <v>50</v>
      </c>
      <c r="B592" s="3">
        <f t="shared" ref="B592:B655" si="109">B591+1</f>
        <v>590</v>
      </c>
      <c r="C592" s="40">
        <f t="shared" si="102"/>
        <v>13549607334.625124</v>
      </c>
      <c r="D592" s="41">
        <f>'System Assumptions'!$E$11/12</f>
        <v>75242280</v>
      </c>
      <c r="E592" s="41">
        <f>-'System Assumptions'!$E$10/12</f>
        <v>-133627000</v>
      </c>
      <c r="F592" s="41">
        <f>IF(I591&lt;'System Assumptions'!$E$29,'Hydrological Data Model'!$E$33/12,'Hydrological Data Model'!$E$33/12)</f>
        <v>183636903.52495179</v>
      </c>
      <c r="G592" s="42">
        <f>IF(I591&lt;'System Assumptions'!$E$29,0,-(MIN('Hydrological Data Model'!$E$34,'Hydrological Data Model'!$E$33-'System Assumptions'!$E$12))/12)</f>
        <v>-125252183.52495177</v>
      </c>
      <c r="H592" s="42">
        <f t="shared" si="107"/>
        <v>13549607334.625124</v>
      </c>
      <c r="I592" s="106">
        <f>H592/'System Assumptions'!$F$15</f>
        <v>15.252270619126433</v>
      </c>
      <c r="J592" s="42">
        <f>'System Assumptions'!$E$30+'System Assumptions'!$E$28-'Data Model Calculations'!I592</f>
        <v>64.501329380873571</v>
      </c>
      <c r="K592" s="45">
        <f t="shared" si="103"/>
        <v>53.606959308879475</v>
      </c>
      <c r="L592" s="46">
        <f t="shared" si="104"/>
        <v>726353249038543.88</v>
      </c>
      <c r="M592" s="47">
        <f>D592/1000*('System Assumptions'!$F$20*1000000)</f>
        <v>276691425000.00018</v>
      </c>
      <c r="N592" s="48"/>
      <c r="O592" s="49">
        <f>(F592/1000)*('System Assumptions'!$F$21*1000000)</f>
        <v>6427291623373.3125</v>
      </c>
      <c r="P592" s="49">
        <f t="shared" si="108"/>
        <v>-6714388705570.3926</v>
      </c>
      <c r="Q592" s="48">
        <f t="shared" si="105"/>
        <v>726342843381346.88</v>
      </c>
      <c r="R592" s="53">
        <f t="shared" si="106"/>
        <v>53.606191341443953</v>
      </c>
      <c r="S592" s="52">
        <v>35</v>
      </c>
    </row>
    <row r="593" spans="1:19">
      <c r="A593" s="3">
        <f t="shared" si="101"/>
        <v>50</v>
      </c>
      <c r="B593" s="3">
        <f t="shared" si="109"/>
        <v>591</v>
      </c>
      <c r="C593" s="40">
        <f t="shared" si="102"/>
        <v>13549607334.625124</v>
      </c>
      <c r="D593" s="41">
        <f>'System Assumptions'!$E$11/12</f>
        <v>75242280</v>
      </c>
      <c r="E593" s="41">
        <f>-'System Assumptions'!$E$10/12</f>
        <v>-133627000</v>
      </c>
      <c r="F593" s="41">
        <f>IF(I592&lt;'System Assumptions'!$E$29,'Hydrological Data Model'!$E$33/12,'Hydrological Data Model'!$E$33/12)</f>
        <v>183636903.52495179</v>
      </c>
      <c r="G593" s="42">
        <f>IF(I592&lt;'System Assumptions'!$E$29,0,-(MIN('Hydrological Data Model'!$E$34,'Hydrological Data Model'!$E$33-'System Assumptions'!$E$12))/12)</f>
        <v>-125252183.52495177</v>
      </c>
      <c r="H593" s="42">
        <f t="shared" si="107"/>
        <v>13549607334.625124</v>
      </c>
      <c r="I593" s="106">
        <f>H593/'System Assumptions'!$F$15</f>
        <v>15.252270619126433</v>
      </c>
      <c r="J593" s="42">
        <f>'System Assumptions'!$E$30+'System Assumptions'!$E$28-'Data Model Calculations'!I593</f>
        <v>64.501329380873571</v>
      </c>
      <c r="K593" s="45">
        <f t="shared" si="103"/>
        <v>53.606191341443953</v>
      </c>
      <c r="L593" s="46">
        <f t="shared" si="104"/>
        <v>726342843381346.88</v>
      </c>
      <c r="M593" s="47">
        <f>D593/1000*('System Assumptions'!$F$20*1000000)</f>
        <v>276691425000.00018</v>
      </c>
      <c r="N593" s="48"/>
      <c r="O593" s="49">
        <f>(F593/1000)*('System Assumptions'!$F$21*1000000)</f>
        <v>6427291623373.3125</v>
      </c>
      <c r="P593" s="49">
        <f t="shared" si="108"/>
        <v>-6714292515972.2178</v>
      </c>
      <c r="Q593" s="48">
        <f t="shared" si="105"/>
        <v>726332533913748</v>
      </c>
      <c r="R593" s="53">
        <f t="shared" si="106"/>
        <v>53.605430473077497</v>
      </c>
      <c r="S593" s="52">
        <v>35</v>
      </c>
    </row>
    <row r="594" spans="1:19">
      <c r="A594" s="3">
        <f t="shared" si="101"/>
        <v>50</v>
      </c>
      <c r="B594" s="3">
        <f t="shared" si="109"/>
        <v>592</v>
      </c>
      <c r="C594" s="40">
        <f t="shared" si="102"/>
        <v>13549607334.625124</v>
      </c>
      <c r="D594" s="41">
        <f>'System Assumptions'!$E$11/12</f>
        <v>75242280</v>
      </c>
      <c r="E594" s="41">
        <f>-'System Assumptions'!$E$10/12</f>
        <v>-133627000</v>
      </c>
      <c r="F594" s="41">
        <f>IF(I593&lt;'System Assumptions'!$E$29,'Hydrological Data Model'!$E$33/12,'Hydrological Data Model'!$E$33/12)</f>
        <v>183636903.52495179</v>
      </c>
      <c r="G594" s="42">
        <f>IF(I593&lt;'System Assumptions'!$E$29,0,-(MIN('Hydrological Data Model'!$E$34,'Hydrological Data Model'!$E$33-'System Assumptions'!$E$12))/12)</f>
        <v>-125252183.52495177</v>
      </c>
      <c r="H594" s="42">
        <f t="shared" si="107"/>
        <v>13549607334.625124</v>
      </c>
      <c r="I594" s="106">
        <f>H594/'System Assumptions'!$F$15</f>
        <v>15.252270619126433</v>
      </c>
      <c r="J594" s="42">
        <f>'System Assumptions'!$E$30+'System Assumptions'!$E$28-'Data Model Calculations'!I594</f>
        <v>64.501329380873571</v>
      </c>
      <c r="K594" s="45">
        <f t="shared" si="103"/>
        <v>53.605430473077497</v>
      </c>
      <c r="L594" s="46">
        <f t="shared" si="104"/>
        <v>726332533913748</v>
      </c>
      <c r="M594" s="47">
        <f>D594/1000*('System Assumptions'!$F$20*1000000)</f>
        <v>276691425000.00018</v>
      </c>
      <c r="N594" s="48"/>
      <c r="O594" s="49">
        <f>(F594/1000)*('System Assumptions'!$F$21*1000000)</f>
        <v>6427291623373.3125</v>
      </c>
      <c r="P594" s="49">
        <f t="shared" si="108"/>
        <v>-6714197215547.9453</v>
      </c>
      <c r="Q594" s="48">
        <f t="shared" si="105"/>
        <v>726322319746573.25</v>
      </c>
      <c r="R594" s="53">
        <f t="shared" si="106"/>
        <v>53.604676638156498</v>
      </c>
      <c r="S594" s="52">
        <v>35</v>
      </c>
    </row>
    <row r="595" spans="1:19">
      <c r="A595" s="3">
        <f t="shared" si="101"/>
        <v>50</v>
      </c>
      <c r="B595" s="3">
        <f t="shared" si="109"/>
        <v>593</v>
      </c>
      <c r="C595" s="40">
        <f t="shared" si="102"/>
        <v>13549607334.625124</v>
      </c>
      <c r="D595" s="41">
        <f>'System Assumptions'!$E$11/12</f>
        <v>75242280</v>
      </c>
      <c r="E595" s="41">
        <f>-'System Assumptions'!$E$10/12</f>
        <v>-133627000</v>
      </c>
      <c r="F595" s="41">
        <f>IF(I594&lt;'System Assumptions'!$E$29,'Hydrological Data Model'!$E$33/12,'Hydrological Data Model'!$E$33/12)</f>
        <v>183636903.52495179</v>
      </c>
      <c r="G595" s="42">
        <f>IF(I594&lt;'System Assumptions'!$E$29,0,-(MIN('Hydrological Data Model'!$E$34,'Hydrological Data Model'!$E$33-'System Assumptions'!$E$12))/12)</f>
        <v>-125252183.52495177</v>
      </c>
      <c r="H595" s="42">
        <f t="shared" si="107"/>
        <v>13549607334.625124</v>
      </c>
      <c r="I595" s="106">
        <f>H595/'System Assumptions'!$F$15</f>
        <v>15.252270619126433</v>
      </c>
      <c r="J595" s="42">
        <f>'System Assumptions'!$E$30+'System Assumptions'!$E$28-'Data Model Calculations'!I595</f>
        <v>64.501329380873571</v>
      </c>
      <c r="K595" s="45">
        <f t="shared" si="103"/>
        <v>53.604676638156498</v>
      </c>
      <c r="L595" s="46">
        <f t="shared" si="104"/>
        <v>726322319746573.25</v>
      </c>
      <c r="M595" s="47">
        <f>D595/1000*('System Assumptions'!$F$20*1000000)</f>
        <v>276691425000.00018</v>
      </c>
      <c r="N595" s="48"/>
      <c r="O595" s="49">
        <f>(F595/1000)*('System Assumptions'!$F$21*1000000)</f>
        <v>6427291623373.3125</v>
      </c>
      <c r="P595" s="49">
        <f t="shared" si="108"/>
        <v>-6714102796078.0723</v>
      </c>
      <c r="Q595" s="48">
        <f t="shared" si="105"/>
        <v>726312199998868.38</v>
      </c>
      <c r="R595" s="53">
        <f t="shared" si="106"/>
        <v>53.603929771663985</v>
      </c>
      <c r="S595" s="52">
        <v>35</v>
      </c>
    </row>
    <row r="596" spans="1:19">
      <c r="A596" s="3">
        <f t="shared" si="101"/>
        <v>50</v>
      </c>
      <c r="B596" s="3">
        <f t="shared" si="109"/>
        <v>594</v>
      </c>
      <c r="C596" s="40">
        <f t="shared" si="102"/>
        <v>13549607334.625124</v>
      </c>
      <c r="D596" s="41">
        <f>'System Assumptions'!$E$11/12</f>
        <v>75242280</v>
      </c>
      <c r="E596" s="41">
        <f>-'System Assumptions'!$E$10/12</f>
        <v>-133627000</v>
      </c>
      <c r="F596" s="41">
        <f>IF(I595&lt;'System Assumptions'!$E$29,'Hydrological Data Model'!$E$33/12,'Hydrological Data Model'!$E$33/12)</f>
        <v>183636903.52495179</v>
      </c>
      <c r="G596" s="42">
        <f>IF(I595&lt;'System Assumptions'!$E$29,0,-(MIN('Hydrological Data Model'!$E$34,'Hydrological Data Model'!$E$33-'System Assumptions'!$E$12))/12)</f>
        <v>-125252183.52495177</v>
      </c>
      <c r="H596" s="42">
        <f t="shared" si="107"/>
        <v>13549607334.625124</v>
      </c>
      <c r="I596" s="106">
        <f>H596/'System Assumptions'!$F$15</f>
        <v>15.252270619126433</v>
      </c>
      <c r="J596" s="42">
        <f>'System Assumptions'!$E$30+'System Assumptions'!$E$28-'Data Model Calculations'!I596</f>
        <v>64.501329380873571</v>
      </c>
      <c r="K596" s="45">
        <f t="shared" si="103"/>
        <v>53.603929771663985</v>
      </c>
      <c r="L596" s="46">
        <f t="shared" si="104"/>
        <v>726312199998868.38</v>
      </c>
      <c r="M596" s="47">
        <f>D596/1000*('System Assumptions'!$F$20*1000000)</f>
        <v>276691425000.00018</v>
      </c>
      <c r="N596" s="48"/>
      <c r="O596" s="49">
        <f>(F596/1000)*('System Assumptions'!$F$21*1000000)</f>
        <v>6427291623373.3125</v>
      </c>
      <c r="P596" s="49">
        <f t="shared" si="108"/>
        <v>-6714009249419.083</v>
      </c>
      <c r="Q596" s="48">
        <f t="shared" si="105"/>
        <v>726302173797822.63</v>
      </c>
      <c r="R596" s="53">
        <f t="shared" si="106"/>
        <v>53.60318980918403</v>
      </c>
      <c r="S596" s="52">
        <v>35</v>
      </c>
    </row>
    <row r="597" spans="1:19">
      <c r="A597" s="3">
        <f t="shared" si="101"/>
        <v>50</v>
      </c>
      <c r="B597" s="3">
        <f t="shared" si="109"/>
        <v>595</v>
      </c>
      <c r="C597" s="40">
        <f t="shared" si="102"/>
        <v>13549607334.625124</v>
      </c>
      <c r="D597" s="41">
        <f>'System Assumptions'!$E$11/12</f>
        <v>75242280</v>
      </c>
      <c r="E597" s="41">
        <f>-'System Assumptions'!$E$10/12</f>
        <v>-133627000</v>
      </c>
      <c r="F597" s="41">
        <f>IF(I596&lt;'System Assumptions'!$E$29,'Hydrological Data Model'!$E$33/12,'Hydrological Data Model'!$E$33/12)</f>
        <v>183636903.52495179</v>
      </c>
      <c r="G597" s="42">
        <f>IF(I596&lt;'System Assumptions'!$E$29,0,-(MIN('Hydrological Data Model'!$E$34,'Hydrological Data Model'!$E$33-'System Assumptions'!$E$12))/12)</f>
        <v>-125252183.52495177</v>
      </c>
      <c r="H597" s="42">
        <f t="shared" si="107"/>
        <v>13549607334.625124</v>
      </c>
      <c r="I597" s="106">
        <f>H597/'System Assumptions'!$F$15</f>
        <v>15.252270619126433</v>
      </c>
      <c r="J597" s="42">
        <f>'System Assumptions'!$E$30+'System Assumptions'!$E$28-'Data Model Calculations'!I597</f>
        <v>64.501329380873571</v>
      </c>
      <c r="K597" s="45">
        <f t="shared" si="103"/>
        <v>53.60318980918403</v>
      </c>
      <c r="L597" s="46">
        <f t="shared" si="104"/>
        <v>726302173797822.63</v>
      </c>
      <c r="M597" s="47">
        <f>D597/1000*('System Assumptions'!$F$20*1000000)</f>
        <v>276691425000.00018</v>
      </c>
      <c r="N597" s="48"/>
      <c r="O597" s="49">
        <f>(F597/1000)*('System Assumptions'!$F$21*1000000)</f>
        <v>6427291623373.3125</v>
      </c>
      <c r="P597" s="49">
        <f t="shared" si="108"/>
        <v>-6713916567502.7422</v>
      </c>
      <c r="Q597" s="48">
        <f t="shared" si="105"/>
        <v>726292240278693.25</v>
      </c>
      <c r="R597" s="53">
        <f t="shared" si="106"/>
        <v>53.602456686896126</v>
      </c>
      <c r="S597" s="52">
        <v>35</v>
      </c>
    </row>
    <row r="598" spans="1:19">
      <c r="A598" s="3">
        <f t="shared" si="101"/>
        <v>50</v>
      </c>
      <c r="B598" s="3">
        <f t="shared" si="109"/>
        <v>596</v>
      </c>
      <c r="C598" s="40">
        <f t="shared" si="102"/>
        <v>13549607334.625124</v>
      </c>
      <c r="D598" s="41">
        <f>'System Assumptions'!$E$11/12</f>
        <v>75242280</v>
      </c>
      <c r="E598" s="41">
        <f>-'System Assumptions'!$E$10/12</f>
        <v>-133627000</v>
      </c>
      <c r="F598" s="41">
        <f>IF(I597&lt;'System Assumptions'!$E$29,'Hydrological Data Model'!$E$33/12,'Hydrological Data Model'!$E$33/12)</f>
        <v>183636903.52495179</v>
      </c>
      <c r="G598" s="42">
        <f>IF(I597&lt;'System Assumptions'!$E$29,0,-(MIN('Hydrological Data Model'!$E$34,'Hydrological Data Model'!$E$33-'System Assumptions'!$E$12))/12)</f>
        <v>-125252183.52495177</v>
      </c>
      <c r="H598" s="42">
        <f t="shared" si="107"/>
        <v>13549607334.625124</v>
      </c>
      <c r="I598" s="106">
        <f>H598/'System Assumptions'!$F$15</f>
        <v>15.252270619126433</v>
      </c>
      <c r="J598" s="42">
        <f>'System Assumptions'!$E$30+'System Assumptions'!$E$28-'Data Model Calculations'!I598</f>
        <v>64.501329380873571</v>
      </c>
      <c r="K598" s="45">
        <f t="shared" si="103"/>
        <v>53.602456686896126</v>
      </c>
      <c r="L598" s="46">
        <f t="shared" si="104"/>
        <v>726292240278693.25</v>
      </c>
      <c r="M598" s="47">
        <f>D598/1000*('System Assumptions'!$F$20*1000000)</f>
        <v>276691425000.00018</v>
      </c>
      <c r="N598" s="48"/>
      <c r="O598" s="49">
        <f>(F598/1000)*('System Assumptions'!$F$21*1000000)</f>
        <v>6427291623373.3125</v>
      </c>
      <c r="P598" s="49">
        <f t="shared" si="108"/>
        <v>-6713824742335.3916</v>
      </c>
      <c r="Q598" s="48">
        <f t="shared" si="105"/>
        <v>726282398584731.13</v>
      </c>
      <c r="R598" s="53">
        <f t="shared" si="106"/>
        <v>53.60173034156972</v>
      </c>
      <c r="S598" s="52">
        <v>35</v>
      </c>
    </row>
    <row r="599" spans="1:19">
      <c r="A599" s="3">
        <f t="shared" si="101"/>
        <v>50</v>
      </c>
      <c r="B599" s="3">
        <f t="shared" si="109"/>
        <v>597</v>
      </c>
      <c r="C599" s="40">
        <f t="shared" si="102"/>
        <v>13549607334.625124</v>
      </c>
      <c r="D599" s="41">
        <f>'System Assumptions'!$E$11/12</f>
        <v>75242280</v>
      </c>
      <c r="E599" s="41">
        <f>-'System Assumptions'!$E$10/12</f>
        <v>-133627000</v>
      </c>
      <c r="F599" s="41">
        <f>IF(I598&lt;'System Assumptions'!$E$29,'Hydrological Data Model'!$E$33/12,'Hydrological Data Model'!$E$33/12)</f>
        <v>183636903.52495179</v>
      </c>
      <c r="G599" s="42">
        <f>IF(I598&lt;'System Assumptions'!$E$29,0,-(MIN('Hydrological Data Model'!$E$34,'Hydrological Data Model'!$E$33-'System Assumptions'!$E$12))/12)</f>
        <v>-125252183.52495177</v>
      </c>
      <c r="H599" s="42">
        <f t="shared" si="107"/>
        <v>13549607334.625124</v>
      </c>
      <c r="I599" s="106">
        <f>H599/'System Assumptions'!$F$15</f>
        <v>15.252270619126433</v>
      </c>
      <c r="J599" s="42">
        <f>'System Assumptions'!$E$30+'System Assumptions'!$E$28-'Data Model Calculations'!I599</f>
        <v>64.501329380873571</v>
      </c>
      <c r="K599" s="45">
        <f t="shared" si="103"/>
        <v>53.60173034156972</v>
      </c>
      <c r="L599" s="46">
        <f t="shared" si="104"/>
        <v>726282398584731.13</v>
      </c>
      <c r="M599" s="47">
        <f>D599/1000*('System Assumptions'!$F$20*1000000)</f>
        <v>276691425000.00018</v>
      </c>
      <c r="N599" s="48"/>
      <c r="O599" s="49">
        <f>(F599/1000)*('System Assumptions'!$F$21*1000000)</f>
        <v>6427291623373.3125</v>
      </c>
      <c r="P599" s="49">
        <f t="shared" si="108"/>
        <v>-6713733765997.2656</v>
      </c>
      <c r="Q599" s="48">
        <f t="shared" si="105"/>
        <v>726272647867107.25</v>
      </c>
      <c r="R599" s="53">
        <f t="shared" si="106"/>
        <v>53.601010710558789</v>
      </c>
      <c r="S599" s="52">
        <v>35</v>
      </c>
    </row>
    <row r="600" spans="1:19">
      <c r="A600" s="3">
        <f t="shared" si="101"/>
        <v>50</v>
      </c>
      <c r="B600" s="3">
        <f t="shared" si="109"/>
        <v>598</v>
      </c>
      <c r="C600" s="40">
        <f t="shared" si="102"/>
        <v>13549607334.625124</v>
      </c>
      <c r="D600" s="41">
        <f>'System Assumptions'!$E$11/12</f>
        <v>75242280</v>
      </c>
      <c r="E600" s="41">
        <f>-'System Assumptions'!$E$10/12</f>
        <v>-133627000</v>
      </c>
      <c r="F600" s="41">
        <f>IF(I599&lt;'System Assumptions'!$E$29,'Hydrological Data Model'!$E$33/12,'Hydrological Data Model'!$E$33/12)</f>
        <v>183636903.52495179</v>
      </c>
      <c r="G600" s="42">
        <f>IF(I599&lt;'System Assumptions'!$E$29,0,-(MIN('Hydrological Data Model'!$E$34,'Hydrological Data Model'!$E$33-'System Assumptions'!$E$12))/12)</f>
        <v>-125252183.52495177</v>
      </c>
      <c r="H600" s="42">
        <f t="shared" si="107"/>
        <v>13549607334.625124</v>
      </c>
      <c r="I600" s="106">
        <f>H600/'System Assumptions'!$F$15</f>
        <v>15.252270619126433</v>
      </c>
      <c r="J600" s="42">
        <f>'System Assumptions'!$E$30+'System Assumptions'!$E$28-'Data Model Calculations'!I600</f>
        <v>64.501329380873571</v>
      </c>
      <c r="K600" s="45">
        <f t="shared" si="103"/>
        <v>53.601010710558789</v>
      </c>
      <c r="L600" s="46">
        <f t="shared" si="104"/>
        <v>726272647867107.25</v>
      </c>
      <c r="M600" s="47">
        <f>D600/1000*('System Assumptions'!$F$20*1000000)</f>
        <v>276691425000.00018</v>
      </c>
      <c r="N600" s="48"/>
      <c r="O600" s="49">
        <f>(F600/1000)*('System Assumptions'!$F$21*1000000)</f>
        <v>6427291623373.3125</v>
      </c>
      <c r="P600" s="49">
        <f t="shared" si="108"/>
        <v>-6713643630641.8154</v>
      </c>
      <c r="Q600" s="48">
        <f t="shared" si="105"/>
        <v>726262987284838.63</v>
      </c>
      <c r="R600" s="53">
        <f t="shared" si="106"/>
        <v>53.600297731796381</v>
      </c>
      <c r="S600" s="52">
        <v>35</v>
      </c>
    </row>
    <row r="601" spans="1:19">
      <c r="A601" s="3">
        <f t="shared" si="101"/>
        <v>50</v>
      </c>
      <c r="B601" s="3">
        <f t="shared" si="109"/>
        <v>599</v>
      </c>
      <c r="C601" s="40">
        <f t="shared" si="102"/>
        <v>13549607334.625124</v>
      </c>
      <c r="D601" s="41">
        <f>'System Assumptions'!$E$11/12</f>
        <v>75242280</v>
      </c>
      <c r="E601" s="41">
        <f>-'System Assumptions'!$E$10/12</f>
        <v>-133627000</v>
      </c>
      <c r="F601" s="41">
        <f>IF(I600&lt;'System Assumptions'!$E$29,'Hydrological Data Model'!$E$33/12,'Hydrological Data Model'!$E$33/12)</f>
        <v>183636903.52495179</v>
      </c>
      <c r="G601" s="42">
        <f>IF(I600&lt;'System Assumptions'!$E$29,0,-(MIN('Hydrological Data Model'!$E$34,'Hydrological Data Model'!$E$33-'System Assumptions'!$E$12))/12)</f>
        <v>-125252183.52495177</v>
      </c>
      <c r="H601" s="42">
        <f t="shared" si="107"/>
        <v>13549607334.625124</v>
      </c>
      <c r="I601" s="106">
        <f>H601/'System Assumptions'!$F$15</f>
        <v>15.252270619126433</v>
      </c>
      <c r="J601" s="42">
        <f>'System Assumptions'!$E$30+'System Assumptions'!$E$28-'Data Model Calculations'!I601</f>
        <v>64.501329380873571</v>
      </c>
      <c r="K601" s="45">
        <f t="shared" si="103"/>
        <v>53.600297731796381</v>
      </c>
      <c r="L601" s="46">
        <f t="shared" si="104"/>
        <v>726262987284838.63</v>
      </c>
      <c r="M601" s="47">
        <f>D601/1000*('System Assumptions'!$F$20*1000000)</f>
        <v>276691425000.00018</v>
      </c>
      <c r="N601" s="48"/>
      <c r="O601" s="49">
        <f>(F601/1000)*('System Assumptions'!$F$21*1000000)</f>
        <v>6427291623373.3125</v>
      </c>
      <c r="P601" s="49">
        <f t="shared" si="108"/>
        <v>-6713554328495.0156</v>
      </c>
      <c r="Q601" s="48">
        <f t="shared" si="105"/>
        <v>726253416004717</v>
      </c>
      <c r="R601" s="53">
        <f t="shared" si="106"/>
        <v>53.599591343789321</v>
      </c>
      <c r="S601" s="52">
        <v>35</v>
      </c>
    </row>
    <row r="602" spans="1:19">
      <c r="A602" s="3">
        <f t="shared" si="101"/>
        <v>50</v>
      </c>
      <c r="B602" s="3">
        <f t="shared" si="109"/>
        <v>600</v>
      </c>
      <c r="C602" s="40">
        <f t="shared" si="102"/>
        <v>13549607334.625124</v>
      </c>
      <c r="D602" s="41">
        <f>'System Assumptions'!$E$11/12</f>
        <v>75242280</v>
      </c>
      <c r="E602" s="41">
        <f>-'System Assumptions'!$E$10/12</f>
        <v>-133627000</v>
      </c>
      <c r="F602" s="41">
        <f>IF(I601&lt;'System Assumptions'!$E$29,'Hydrological Data Model'!$E$33/12,'Hydrological Data Model'!$E$33/12)</f>
        <v>183636903.52495179</v>
      </c>
      <c r="G602" s="42">
        <f>IF(I601&lt;'System Assumptions'!$E$29,0,-(MIN('Hydrological Data Model'!$E$34,'Hydrological Data Model'!$E$33-'System Assumptions'!$E$12))/12)</f>
        <v>-125252183.52495177</v>
      </c>
      <c r="H602" s="42">
        <f t="shared" si="107"/>
        <v>13549607334.625124</v>
      </c>
      <c r="I602" s="106">
        <f>H602/'System Assumptions'!$F$15</f>
        <v>15.252270619126433</v>
      </c>
      <c r="J602" s="42">
        <f>'System Assumptions'!$E$30+'System Assumptions'!$E$28-'Data Model Calculations'!I602</f>
        <v>64.501329380873571</v>
      </c>
      <c r="K602" s="45">
        <f t="shared" si="103"/>
        <v>53.599591343789321</v>
      </c>
      <c r="L602" s="46">
        <f t="shared" si="104"/>
        <v>726253416004717</v>
      </c>
      <c r="M602" s="47">
        <f>D602/1000*('System Assumptions'!$F$20*1000000)</f>
        <v>276691425000.00018</v>
      </c>
      <c r="N602" s="48"/>
      <c r="O602" s="49">
        <f>(F602/1000)*('System Assumptions'!$F$21*1000000)</f>
        <v>6427291623373.3125</v>
      </c>
      <c r="P602" s="49">
        <f t="shared" si="108"/>
        <v>-6713465851854.7158</v>
      </c>
      <c r="Q602" s="48">
        <f t="shared" si="105"/>
        <v>726243933201235.5</v>
      </c>
      <c r="R602" s="53">
        <f t="shared" si="106"/>
        <v>53.59889148561281</v>
      </c>
      <c r="S602" s="52">
        <v>35</v>
      </c>
    </row>
    <row r="603" spans="1:19">
      <c r="A603" s="3">
        <f t="shared" si="101"/>
        <v>51</v>
      </c>
      <c r="B603" s="3">
        <f t="shared" si="109"/>
        <v>601</v>
      </c>
      <c r="C603" s="40">
        <f t="shared" si="102"/>
        <v>13549607334.625124</v>
      </c>
      <c r="D603" s="41">
        <f>'System Assumptions'!$E$11/12</f>
        <v>75242280</v>
      </c>
      <c r="E603" s="41">
        <f>-'System Assumptions'!$E$10/12</f>
        <v>-133627000</v>
      </c>
      <c r="F603" s="41">
        <f>IF(I602&lt;'System Assumptions'!$E$29,'Hydrological Data Model'!$E$33/12,'Hydrological Data Model'!$E$33/12)</f>
        <v>183636903.52495179</v>
      </c>
      <c r="G603" s="42">
        <f>IF(I602&lt;'System Assumptions'!$E$29,0,-(MIN('Hydrological Data Model'!$E$34,'Hydrological Data Model'!$E$33-'System Assumptions'!$E$12))/12)</f>
        <v>-125252183.52495177</v>
      </c>
      <c r="H603" s="42">
        <f t="shared" si="107"/>
        <v>13549607334.625124</v>
      </c>
      <c r="I603" s="106">
        <f>H603/'System Assumptions'!$F$15</f>
        <v>15.252270619126433</v>
      </c>
      <c r="J603" s="42">
        <f>'System Assumptions'!$E$30+'System Assumptions'!$E$28-'Data Model Calculations'!I603</f>
        <v>64.501329380873571</v>
      </c>
      <c r="K603" s="45">
        <f t="shared" si="103"/>
        <v>53.59889148561281</v>
      </c>
      <c r="L603" s="46">
        <f t="shared" si="104"/>
        <v>726243933201235.5</v>
      </c>
      <c r="M603" s="47">
        <f>D603/1000*('System Assumptions'!$F$20*1000000)</f>
        <v>276691425000.00018</v>
      </c>
      <c r="N603" s="48"/>
      <c r="O603" s="49">
        <f>(F603/1000)*('System Assumptions'!$F$21*1000000)</f>
        <v>6427291623373.3125</v>
      </c>
      <c r="P603" s="49">
        <f t="shared" si="108"/>
        <v>-6713378193089.9502</v>
      </c>
      <c r="Q603" s="48">
        <f t="shared" si="105"/>
        <v>726234538056518.75</v>
      </c>
      <c r="R603" s="53">
        <f t="shared" si="106"/>
        <v>53.598198096905328</v>
      </c>
      <c r="S603" s="52">
        <v>35</v>
      </c>
    </row>
    <row r="604" spans="1:19">
      <c r="A604" s="3">
        <f t="shared" si="101"/>
        <v>51</v>
      </c>
      <c r="B604" s="3">
        <f t="shared" si="109"/>
        <v>602</v>
      </c>
      <c r="C604" s="40">
        <f t="shared" si="102"/>
        <v>13549607334.625124</v>
      </c>
      <c r="D604" s="41">
        <f>'System Assumptions'!$E$11/12</f>
        <v>75242280</v>
      </c>
      <c r="E604" s="41">
        <f>-'System Assumptions'!$E$10/12</f>
        <v>-133627000</v>
      </c>
      <c r="F604" s="41">
        <f>IF(I603&lt;'System Assumptions'!$E$29,'Hydrological Data Model'!$E$33/12,'Hydrological Data Model'!$E$33/12)</f>
        <v>183636903.52495179</v>
      </c>
      <c r="G604" s="42">
        <f>IF(I603&lt;'System Assumptions'!$E$29,0,-(MIN('Hydrological Data Model'!$E$34,'Hydrological Data Model'!$E$33-'System Assumptions'!$E$12))/12)</f>
        <v>-125252183.52495177</v>
      </c>
      <c r="H604" s="42">
        <f t="shared" si="107"/>
        <v>13549607334.625124</v>
      </c>
      <c r="I604" s="106">
        <f>H604/'System Assumptions'!$F$15</f>
        <v>15.252270619126433</v>
      </c>
      <c r="J604" s="42">
        <f>'System Assumptions'!$E$30+'System Assumptions'!$E$28-'Data Model Calculations'!I604</f>
        <v>64.501329380873571</v>
      </c>
      <c r="K604" s="45">
        <f t="shared" si="103"/>
        <v>53.598198096905328</v>
      </c>
      <c r="L604" s="46">
        <f t="shared" si="104"/>
        <v>726234538056518.75</v>
      </c>
      <c r="M604" s="47">
        <f>D604/1000*('System Assumptions'!$F$20*1000000)</f>
        <v>276691425000.00018</v>
      </c>
      <c r="N604" s="48"/>
      <c r="O604" s="49">
        <f>(F604/1000)*('System Assumptions'!$F$21*1000000)</f>
        <v>6427291623373.3125</v>
      </c>
      <c r="P604" s="49">
        <f t="shared" si="108"/>
        <v>-6713291344640.3066</v>
      </c>
      <c r="Q604" s="48">
        <f t="shared" si="105"/>
        <v>726225229760251.75</v>
      </c>
      <c r="R604" s="53">
        <f t="shared" si="106"/>
        <v>53.59751111786327</v>
      </c>
      <c r="S604" s="52">
        <v>35</v>
      </c>
    </row>
    <row r="605" spans="1:19">
      <c r="A605" s="3">
        <f t="shared" si="101"/>
        <v>51</v>
      </c>
      <c r="B605" s="3">
        <f t="shared" si="109"/>
        <v>603</v>
      </c>
      <c r="C605" s="40">
        <f t="shared" si="102"/>
        <v>13549607334.625124</v>
      </c>
      <c r="D605" s="41">
        <f>'System Assumptions'!$E$11/12</f>
        <v>75242280</v>
      </c>
      <c r="E605" s="41">
        <f>-'System Assumptions'!$E$10/12</f>
        <v>-133627000</v>
      </c>
      <c r="F605" s="41">
        <f>IF(I604&lt;'System Assumptions'!$E$29,'Hydrological Data Model'!$E$33/12,'Hydrological Data Model'!$E$33/12)</f>
        <v>183636903.52495179</v>
      </c>
      <c r="G605" s="42">
        <f>IF(I604&lt;'System Assumptions'!$E$29,0,-(MIN('Hydrological Data Model'!$E$34,'Hydrological Data Model'!$E$33-'System Assumptions'!$E$12))/12)</f>
        <v>-125252183.52495177</v>
      </c>
      <c r="H605" s="42">
        <f t="shared" si="107"/>
        <v>13549607334.625124</v>
      </c>
      <c r="I605" s="106">
        <f>H605/'System Assumptions'!$F$15</f>
        <v>15.252270619126433</v>
      </c>
      <c r="J605" s="42">
        <f>'System Assumptions'!$E$30+'System Assumptions'!$E$28-'Data Model Calculations'!I605</f>
        <v>64.501329380873571</v>
      </c>
      <c r="K605" s="45">
        <f t="shared" si="103"/>
        <v>53.59751111786327</v>
      </c>
      <c r="L605" s="46">
        <f t="shared" si="104"/>
        <v>726225229760251.75</v>
      </c>
      <c r="M605" s="47">
        <f>D605/1000*('System Assumptions'!$F$20*1000000)</f>
        <v>276691425000.00018</v>
      </c>
      <c r="N605" s="48"/>
      <c r="O605" s="49">
        <f>(F605/1000)*('System Assumptions'!$F$21*1000000)</f>
        <v>6427291623373.3125</v>
      </c>
      <c r="P605" s="49">
        <f t="shared" si="108"/>
        <v>-6713205299015.2529</v>
      </c>
      <c r="Q605" s="48">
        <f t="shared" si="105"/>
        <v>726216007509609.75</v>
      </c>
      <c r="R605" s="53">
        <f t="shared" si="106"/>
        <v>53.596830489235863</v>
      </c>
      <c r="S605" s="52">
        <v>35</v>
      </c>
    </row>
    <row r="606" spans="1:19">
      <c r="A606" s="3">
        <f t="shared" si="101"/>
        <v>51</v>
      </c>
      <c r="B606" s="3">
        <f t="shared" si="109"/>
        <v>604</v>
      </c>
      <c r="C606" s="40">
        <f t="shared" si="102"/>
        <v>13549607334.625124</v>
      </c>
      <c r="D606" s="41">
        <f>'System Assumptions'!$E$11/12</f>
        <v>75242280</v>
      </c>
      <c r="E606" s="41">
        <f>-'System Assumptions'!$E$10/12</f>
        <v>-133627000</v>
      </c>
      <c r="F606" s="41">
        <f>IF(I605&lt;'System Assumptions'!$E$29,'Hydrological Data Model'!$E$33/12,'Hydrological Data Model'!$E$33/12)</f>
        <v>183636903.52495179</v>
      </c>
      <c r="G606" s="42">
        <f>IF(I605&lt;'System Assumptions'!$E$29,0,-(MIN('Hydrological Data Model'!$E$34,'Hydrological Data Model'!$E$33-'System Assumptions'!$E$12))/12)</f>
        <v>-125252183.52495177</v>
      </c>
      <c r="H606" s="42">
        <f t="shared" si="107"/>
        <v>13549607334.625124</v>
      </c>
      <c r="I606" s="106">
        <f>H606/'System Assumptions'!$F$15</f>
        <v>15.252270619126433</v>
      </c>
      <c r="J606" s="42">
        <f>'System Assumptions'!$E$30+'System Assumptions'!$E$28-'Data Model Calculations'!I606</f>
        <v>64.501329380873571</v>
      </c>
      <c r="K606" s="45">
        <f t="shared" si="103"/>
        <v>53.596830489235863</v>
      </c>
      <c r="L606" s="46">
        <f t="shared" si="104"/>
        <v>726216007509609.75</v>
      </c>
      <c r="M606" s="47">
        <f>D606/1000*('System Assumptions'!$F$20*1000000)</f>
        <v>276691425000.00018</v>
      </c>
      <c r="N606" s="48"/>
      <c r="O606" s="49">
        <f>(F606/1000)*('System Assumptions'!$F$21*1000000)</f>
        <v>6427291623373.3125</v>
      </c>
      <c r="P606" s="49">
        <f t="shared" si="108"/>
        <v>-6713120048793.501</v>
      </c>
      <c r="Q606" s="48">
        <f t="shared" si="105"/>
        <v>726206870509189.5</v>
      </c>
      <c r="R606" s="53">
        <f t="shared" si="106"/>
        <v>53.59615615232007</v>
      </c>
      <c r="S606" s="52">
        <v>35</v>
      </c>
    </row>
    <row r="607" spans="1:19">
      <c r="A607" s="3">
        <f t="shared" si="101"/>
        <v>51</v>
      </c>
      <c r="B607" s="3">
        <f t="shared" si="109"/>
        <v>605</v>
      </c>
      <c r="C607" s="40">
        <f t="shared" si="102"/>
        <v>13549607334.625124</v>
      </c>
      <c r="D607" s="41">
        <f>'System Assumptions'!$E$11/12</f>
        <v>75242280</v>
      </c>
      <c r="E607" s="41">
        <f>-'System Assumptions'!$E$10/12</f>
        <v>-133627000</v>
      </c>
      <c r="F607" s="41">
        <f>IF(I606&lt;'System Assumptions'!$E$29,'Hydrological Data Model'!$E$33/12,'Hydrological Data Model'!$E$33/12)</f>
        <v>183636903.52495179</v>
      </c>
      <c r="G607" s="42">
        <f>IF(I606&lt;'System Assumptions'!$E$29,0,-(MIN('Hydrological Data Model'!$E$34,'Hydrological Data Model'!$E$33-'System Assumptions'!$E$12))/12)</f>
        <v>-125252183.52495177</v>
      </c>
      <c r="H607" s="42">
        <f t="shared" si="107"/>
        <v>13549607334.625124</v>
      </c>
      <c r="I607" s="106">
        <f>H607/'System Assumptions'!$F$15</f>
        <v>15.252270619126433</v>
      </c>
      <c r="J607" s="42">
        <f>'System Assumptions'!$E$30+'System Assumptions'!$E$28-'Data Model Calculations'!I607</f>
        <v>64.501329380873571</v>
      </c>
      <c r="K607" s="45">
        <f t="shared" si="103"/>
        <v>53.59615615232007</v>
      </c>
      <c r="L607" s="46">
        <f t="shared" si="104"/>
        <v>726206870509189.5</v>
      </c>
      <c r="M607" s="47">
        <f>D607/1000*('System Assumptions'!$F$20*1000000)</f>
        <v>276691425000.00018</v>
      </c>
      <c r="N607" s="48"/>
      <c r="O607" s="49">
        <f>(F607/1000)*('System Assumptions'!$F$21*1000000)</f>
        <v>6427291623373.3125</v>
      </c>
      <c r="P607" s="49">
        <f t="shared" si="108"/>
        <v>-6713035586622.3662</v>
      </c>
      <c r="Q607" s="48">
        <f t="shared" si="105"/>
        <v>726197817970940.38</v>
      </c>
      <c r="R607" s="53">
        <f t="shared" si="106"/>
        <v>53.595488048955488</v>
      </c>
      <c r="S607" s="52">
        <v>35</v>
      </c>
    </row>
    <row r="608" spans="1:19">
      <c r="A608" s="3">
        <f t="shared" si="101"/>
        <v>51</v>
      </c>
      <c r="B608" s="3">
        <f t="shared" si="109"/>
        <v>606</v>
      </c>
      <c r="C608" s="40">
        <f t="shared" si="102"/>
        <v>13549607334.625124</v>
      </c>
      <c r="D608" s="41">
        <f>'System Assumptions'!$E$11/12</f>
        <v>75242280</v>
      </c>
      <c r="E608" s="41">
        <f>-'System Assumptions'!$E$10/12</f>
        <v>-133627000</v>
      </c>
      <c r="F608" s="41">
        <f>IF(I607&lt;'System Assumptions'!$E$29,'Hydrological Data Model'!$E$33/12,'Hydrological Data Model'!$E$33/12)</f>
        <v>183636903.52495179</v>
      </c>
      <c r="G608" s="42">
        <f>IF(I607&lt;'System Assumptions'!$E$29,0,-(MIN('Hydrological Data Model'!$E$34,'Hydrological Data Model'!$E$33-'System Assumptions'!$E$12))/12)</f>
        <v>-125252183.52495177</v>
      </c>
      <c r="H608" s="42">
        <f t="shared" si="107"/>
        <v>13549607334.625124</v>
      </c>
      <c r="I608" s="106">
        <f>H608/'System Assumptions'!$F$15</f>
        <v>15.252270619126433</v>
      </c>
      <c r="J608" s="42">
        <f>'System Assumptions'!$E$30+'System Assumptions'!$E$28-'Data Model Calculations'!I608</f>
        <v>64.501329380873571</v>
      </c>
      <c r="K608" s="45">
        <f t="shared" si="103"/>
        <v>53.595488048955488</v>
      </c>
      <c r="L608" s="46">
        <f t="shared" si="104"/>
        <v>726197817970940.38</v>
      </c>
      <c r="M608" s="47">
        <f>D608/1000*('System Assumptions'!$F$20*1000000)</f>
        <v>276691425000.00018</v>
      </c>
      <c r="N608" s="48"/>
      <c r="O608" s="49">
        <f>(F608/1000)*('System Assumptions'!$F$21*1000000)</f>
        <v>6427291623373.3125</v>
      </c>
      <c r="P608" s="49">
        <f t="shared" si="108"/>
        <v>-6712951905217.1318</v>
      </c>
      <c r="Q608" s="48">
        <f t="shared" si="105"/>
        <v>726188849114096.63</v>
      </c>
      <c r="R608" s="53">
        <f t="shared" si="106"/>
        <v>53.59482612151934</v>
      </c>
      <c r="S608" s="52">
        <v>35</v>
      </c>
    </row>
    <row r="609" spans="1:19">
      <c r="A609" s="3">
        <f t="shared" si="101"/>
        <v>51</v>
      </c>
      <c r="B609" s="3">
        <f t="shared" si="109"/>
        <v>607</v>
      </c>
      <c r="C609" s="40">
        <f t="shared" si="102"/>
        <v>13549607334.625124</v>
      </c>
      <c r="D609" s="41">
        <f>'System Assumptions'!$E$11/12</f>
        <v>75242280</v>
      </c>
      <c r="E609" s="41">
        <f>-'System Assumptions'!$E$10/12</f>
        <v>-133627000</v>
      </c>
      <c r="F609" s="41">
        <f>IF(I608&lt;'System Assumptions'!$E$29,'Hydrological Data Model'!$E$33/12,'Hydrological Data Model'!$E$33/12)</f>
        <v>183636903.52495179</v>
      </c>
      <c r="G609" s="42">
        <f>IF(I608&lt;'System Assumptions'!$E$29,0,-(MIN('Hydrological Data Model'!$E$34,'Hydrological Data Model'!$E$33-'System Assumptions'!$E$12))/12)</f>
        <v>-125252183.52495177</v>
      </c>
      <c r="H609" s="42">
        <f t="shared" si="107"/>
        <v>13549607334.625124</v>
      </c>
      <c r="I609" s="106">
        <f>H609/'System Assumptions'!$F$15</f>
        <v>15.252270619126433</v>
      </c>
      <c r="J609" s="42">
        <f>'System Assumptions'!$E$30+'System Assumptions'!$E$28-'Data Model Calculations'!I609</f>
        <v>64.501329380873571</v>
      </c>
      <c r="K609" s="45">
        <f t="shared" si="103"/>
        <v>53.59482612151934</v>
      </c>
      <c r="L609" s="46">
        <f t="shared" si="104"/>
        <v>726188849114096.63</v>
      </c>
      <c r="M609" s="47">
        <f>D609/1000*('System Assumptions'!$F$20*1000000)</f>
        <v>276691425000.00018</v>
      </c>
      <c r="N609" s="48"/>
      <c r="O609" s="49">
        <f>(F609/1000)*('System Assumptions'!$F$21*1000000)</f>
        <v>6427291623373.3125</v>
      </c>
      <c r="P609" s="49">
        <f t="shared" si="108"/>
        <v>-6712868997360.4189</v>
      </c>
      <c r="Q609" s="48">
        <f t="shared" si="105"/>
        <v>726179963165109.63</v>
      </c>
      <c r="R609" s="53">
        <f t="shared" si="106"/>
        <v>53.594170312921527</v>
      </c>
      <c r="S609" s="52">
        <v>35</v>
      </c>
    </row>
    <row r="610" spans="1:19">
      <c r="A610" s="3">
        <f t="shared" si="101"/>
        <v>51</v>
      </c>
      <c r="B610" s="3">
        <f t="shared" si="109"/>
        <v>608</v>
      </c>
      <c r="C610" s="40">
        <f t="shared" si="102"/>
        <v>13549607334.625124</v>
      </c>
      <c r="D610" s="41">
        <f>'System Assumptions'!$E$11/12</f>
        <v>75242280</v>
      </c>
      <c r="E610" s="41">
        <f>-'System Assumptions'!$E$10/12</f>
        <v>-133627000</v>
      </c>
      <c r="F610" s="41">
        <f>IF(I609&lt;'System Assumptions'!$E$29,'Hydrological Data Model'!$E$33/12,'Hydrological Data Model'!$E$33/12)</f>
        <v>183636903.52495179</v>
      </c>
      <c r="G610" s="42">
        <f>IF(I609&lt;'System Assumptions'!$E$29,0,-(MIN('Hydrological Data Model'!$E$34,'Hydrological Data Model'!$E$33-'System Assumptions'!$E$12))/12)</f>
        <v>-125252183.52495177</v>
      </c>
      <c r="H610" s="42">
        <f t="shared" si="107"/>
        <v>13549607334.625124</v>
      </c>
      <c r="I610" s="106">
        <f>H610/'System Assumptions'!$F$15</f>
        <v>15.252270619126433</v>
      </c>
      <c r="J610" s="42">
        <f>'System Assumptions'!$E$30+'System Assumptions'!$E$28-'Data Model Calculations'!I610</f>
        <v>64.501329380873571</v>
      </c>
      <c r="K610" s="45">
        <f t="shared" si="103"/>
        <v>53.594170312921527</v>
      </c>
      <c r="L610" s="46">
        <f t="shared" si="104"/>
        <v>726179963165109.63</v>
      </c>
      <c r="M610" s="47">
        <f>D610/1000*('System Assumptions'!$F$20*1000000)</f>
        <v>276691425000.00018</v>
      </c>
      <c r="N610" s="48"/>
      <c r="O610" s="49">
        <f>(F610/1000)*('System Assumptions'!$F$21*1000000)</f>
        <v>6427291623373.3125</v>
      </c>
      <c r="P610" s="49">
        <f t="shared" si="108"/>
        <v>-6712786855901.5693</v>
      </c>
      <c r="Q610" s="48">
        <f t="shared" si="105"/>
        <v>726171159357581.38</v>
      </c>
      <c r="R610" s="53">
        <f t="shared" si="106"/>
        <v>53.593520566599672</v>
      </c>
      <c r="S610" s="52">
        <v>35</v>
      </c>
    </row>
    <row r="611" spans="1:19">
      <c r="A611" s="3">
        <f t="shared" si="101"/>
        <v>51</v>
      </c>
      <c r="B611" s="3">
        <f t="shared" si="109"/>
        <v>609</v>
      </c>
      <c r="C611" s="40">
        <f t="shared" si="102"/>
        <v>13549607334.625124</v>
      </c>
      <c r="D611" s="41">
        <f>'System Assumptions'!$E$11/12</f>
        <v>75242280</v>
      </c>
      <c r="E611" s="41">
        <f>-'System Assumptions'!$E$10/12</f>
        <v>-133627000</v>
      </c>
      <c r="F611" s="41">
        <f>IF(I610&lt;'System Assumptions'!$E$29,'Hydrological Data Model'!$E$33/12,'Hydrological Data Model'!$E$33/12)</f>
        <v>183636903.52495179</v>
      </c>
      <c r="G611" s="42">
        <f>IF(I610&lt;'System Assumptions'!$E$29,0,-(MIN('Hydrological Data Model'!$E$34,'Hydrological Data Model'!$E$33-'System Assumptions'!$E$12))/12)</f>
        <v>-125252183.52495177</v>
      </c>
      <c r="H611" s="42">
        <f t="shared" si="107"/>
        <v>13549607334.625124</v>
      </c>
      <c r="I611" s="106">
        <f>H611/'System Assumptions'!$F$15</f>
        <v>15.252270619126433</v>
      </c>
      <c r="J611" s="42">
        <f>'System Assumptions'!$E$30+'System Assumptions'!$E$28-'Data Model Calculations'!I611</f>
        <v>64.501329380873571</v>
      </c>
      <c r="K611" s="45">
        <f t="shared" si="103"/>
        <v>53.593520566599672</v>
      </c>
      <c r="L611" s="46">
        <f t="shared" si="104"/>
        <v>726171159357581.38</v>
      </c>
      <c r="M611" s="47">
        <f>D611/1000*('System Assumptions'!$F$20*1000000)</f>
        <v>276691425000.00018</v>
      </c>
      <c r="N611" s="48"/>
      <c r="O611" s="49">
        <f>(F611/1000)*('System Assumptions'!$F$21*1000000)</f>
        <v>6427291623373.3125</v>
      </c>
      <c r="P611" s="49">
        <f t="shared" si="108"/>
        <v>-6712705473756.0186</v>
      </c>
      <c r="Q611" s="48">
        <f t="shared" si="105"/>
        <v>726162436932198.75</v>
      </c>
      <c r="R611" s="53">
        <f t="shared" si="106"/>
        <v>53.592876826514285</v>
      </c>
      <c r="S611" s="52">
        <v>35</v>
      </c>
    </row>
    <row r="612" spans="1:19">
      <c r="A612" s="3">
        <f t="shared" si="101"/>
        <v>51</v>
      </c>
      <c r="B612" s="3">
        <f t="shared" si="109"/>
        <v>610</v>
      </c>
      <c r="C612" s="40">
        <f t="shared" si="102"/>
        <v>13549607334.625124</v>
      </c>
      <c r="D612" s="41">
        <f>'System Assumptions'!$E$11/12</f>
        <v>75242280</v>
      </c>
      <c r="E612" s="41">
        <f>-'System Assumptions'!$E$10/12</f>
        <v>-133627000</v>
      </c>
      <c r="F612" s="41">
        <f>IF(I611&lt;'System Assumptions'!$E$29,'Hydrological Data Model'!$E$33/12,'Hydrological Data Model'!$E$33/12)</f>
        <v>183636903.52495179</v>
      </c>
      <c r="G612" s="42">
        <f>IF(I611&lt;'System Assumptions'!$E$29,0,-(MIN('Hydrological Data Model'!$E$34,'Hydrological Data Model'!$E$33-'System Assumptions'!$E$12))/12)</f>
        <v>-125252183.52495177</v>
      </c>
      <c r="H612" s="42">
        <f t="shared" si="107"/>
        <v>13549607334.625124</v>
      </c>
      <c r="I612" s="106">
        <f>H612/'System Assumptions'!$F$15</f>
        <v>15.252270619126433</v>
      </c>
      <c r="J612" s="42">
        <f>'System Assumptions'!$E$30+'System Assumptions'!$E$28-'Data Model Calculations'!I612</f>
        <v>64.501329380873571</v>
      </c>
      <c r="K612" s="45">
        <f t="shared" si="103"/>
        <v>53.592876826514285</v>
      </c>
      <c r="L612" s="46">
        <f t="shared" si="104"/>
        <v>726162436932198.75</v>
      </c>
      <c r="M612" s="47">
        <f>D612/1000*('System Assumptions'!$F$20*1000000)</f>
        <v>276691425000.00018</v>
      </c>
      <c r="N612" s="48"/>
      <c r="O612" s="49">
        <f>(F612/1000)*('System Assumptions'!$F$21*1000000)</f>
        <v>6427291623373.3125</v>
      </c>
      <c r="P612" s="49">
        <f t="shared" si="108"/>
        <v>-6712624843904.7021</v>
      </c>
      <c r="Q612" s="48">
        <f t="shared" si="105"/>
        <v>726153795136667.25</v>
      </c>
      <c r="R612" s="53">
        <f t="shared" si="106"/>
        <v>53.592239037143855</v>
      </c>
      <c r="S612" s="52">
        <v>35</v>
      </c>
    </row>
    <row r="613" spans="1:19">
      <c r="A613" s="3">
        <f t="shared" si="101"/>
        <v>51</v>
      </c>
      <c r="B613" s="3">
        <f t="shared" si="109"/>
        <v>611</v>
      </c>
      <c r="C613" s="40">
        <f t="shared" si="102"/>
        <v>13549607334.625124</v>
      </c>
      <c r="D613" s="41">
        <f>'System Assumptions'!$E$11/12</f>
        <v>75242280</v>
      </c>
      <c r="E613" s="41">
        <f>-'System Assumptions'!$E$10/12</f>
        <v>-133627000</v>
      </c>
      <c r="F613" s="41">
        <f>IF(I612&lt;'System Assumptions'!$E$29,'Hydrological Data Model'!$E$33/12,'Hydrological Data Model'!$E$33/12)</f>
        <v>183636903.52495179</v>
      </c>
      <c r="G613" s="42">
        <f>IF(I612&lt;'System Assumptions'!$E$29,0,-(MIN('Hydrological Data Model'!$E$34,'Hydrological Data Model'!$E$33-'System Assumptions'!$E$12))/12)</f>
        <v>-125252183.52495177</v>
      </c>
      <c r="H613" s="42">
        <f t="shared" si="107"/>
        <v>13549607334.625124</v>
      </c>
      <c r="I613" s="106">
        <f>H613/'System Assumptions'!$F$15</f>
        <v>15.252270619126433</v>
      </c>
      <c r="J613" s="42">
        <f>'System Assumptions'!$E$30+'System Assumptions'!$E$28-'Data Model Calculations'!I613</f>
        <v>64.501329380873571</v>
      </c>
      <c r="K613" s="45">
        <f t="shared" si="103"/>
        <v>53.592239037143855</v>
      </c>
      <c r="L613" s="46">
        <f t="shared" si="104"/>
        <v>726153795136667.25</v>
      </c>
      <c r="M613" s="47">
        <f>D613/1000*('System Assumptions'!$F$20*1000000)</f>
        <v>276691425000.00018</v>
      </c>
      <c r="N613" s="48"/>
      <c r="O613" s="49">
        <f>(F613/1000)*('System Assumptions'!$F$21*1000000)</f>
        <v>6427291623373.3125</v>
      </c>
      <c r="P613" s="49">
        <f t="shared" si="108"/>
        <v>-6712544959393.4258</v>
      </c>
      <c r="Q613" s="48">
        <f t="shared" si="105"/>
        <v>726145233225647.13</v>
      </c>
      <c r="R613" s="53">
        <f t="shared" si="106"/>
        <v>53.591607143480168</v>
      </c>
      <c r="S613" s="52">
        <v>35</v>
      </c>
    </row>
    <row r="614" spans="1:19">
      <c r="A614" s="3">
        <f t="shared" si="101"/>
        <v>51</v>
      </c>
      <c r="B614" s="3">
        <f t="shared" si="109"/>
        <v>612</v>
      </c>
      <c r="C614" s="40">
        <f t="shared" si="102"/>
        <v>13549607334.625124</v>
      </c>
      <c r="D614" s="41">
        <f>'System Assumptions'!$E$11/12</f>
        <v>75242280</v>
      </c>
      <c r="E614" s="41">
        <f>-'System Assumptions'!$E$10/12</f>
        <v>-133627000</v>
      </c>
      <c r="F614" s="41">
        <f>IF(I613&lt;'System Assumptions'!$E$29,'Hydrological Data Model'!$E$33/12,'Hydrological Data Model'!$E$33/12)</f>
        <v>183636903.52495179</v>
      </c>
      <c r="G614" s="42">
        <f>IF(I613&lt;'System Assumptions'!$E$29,0,-(MIN('Hydrological Data Model'!$E$34,'Hydrological Data Model'!$E$33-'System Assumptions'!$E$12))/12)</f>
        <v>-125252183.52495177</v>
      </c>
      <c r="H614" s="42">
        <f t="shared" si="107"/>
        <v>13549607334.625124</v>
      </c>
      <c r="I614" s="106">
        <f>H614/'System Assumptions'!$F$15</f>
        <v>15.252270619126433</v>
      </c>
      <c r="J614" s="42">
        <f>'System Assumptions'!$E$30+'System Assumptions'!$E$28-'Data Model Calculations'!I614</f>
        <v>64.501329380873571</v>
      </c>
      <c r="K614" s="45">
        <f t="shared" si="103"/>
        <v>53.591607143480168</v>
      </c>
      <c r="L614" s="46">
        <f t="shared" si="104"/>
        <v>726145233225647.13</v>
      </c>
      <c r="M614" s="47">
        <f>D614/1000*('System Assumptions'!$F$20*1000000)</f>
        <v>276691425000.00018</v>
      </c>
      <c r="N614" s="48"/>
      <c r="O614" s="49">
        <f>(F614/1000)*('System Assumptions'!$F$21*1000000)</f>
        <v>6427291623373.3125</v>
      </c>
      <c r="P614" s="49">
        <f t="shared" si="108"/>
        <v>-6712465813332.2939</v>
      </c>
      <c r="Q614" s="48">
        <f t="shared" si="105"/>
        <v>726136750460688.25</v>
      </c>
      <c r="R614" s="53">
        <f t="shared" si="106"/>
        <v>53.590981091023494</v>
      </c>
      <c r="S614" s="52">
        <v>35</v>
      </c>
    </row>
    <row r="615" spans="1:19">
      <c r="A615" s="3">
        <f t="shared" si="101"/>
        <v>52</v>
      </c>
      <c r="B615" s="3">
        <f t="shared" si="109"/>
        <v>613</v>
      </c>
      <c r="C615" s="40">
        <f t="shared" si="102"/>
        <v>13549607334.625124</v>
      </c>
      <c r="D615" s="41">
        <f>'System Assumptions'!$E$11/12</f>
        <v>75242280</v>
      </c>
      <c r="E615" s="41">
        <f>-'System Assumptions'!$E$10/12</f>
        <v>-133627000</v>
      </c>
      <c r="F615" s="41">
        <f>IF(I614&lt;'System Assumptions'!$E$29,'Hydrological Data Model'!$E$33/12,'Hydrological Data Model'!$E$33/12)</f>
        <v>183636903.52495179</v>
      </c>
      <c r="G615" s="42">
        <f>IF(I614&lt;'System Assumptions'!$E$29,0,-(MIN('Hydrological Data Model'!$E$34,'Hydrological Data Model'!$E$33-'System Assumptions'!$E$12))/12)</f>
        <v>-125252183.52495177</v>
      </c>
      <c r="H615" s="42">
        <f t="shared" si="107"/>
        <v>13549607334.625124</v>
      </c>
      <c r="I615" s="106">
        <f>H615/'System Assumptions'!$F$15</f>
        <v>15.252270619126433</v>
      </c>
      <c r="J615" s="42">
        <f>'System Assumptions'!$E$30+'System Assumptions'!$E$28-'Data Model Calculations'!I615</f>
        <v>64.501329380873571</v>
      </c>
      <c r="K615" s="45">
        <f t="shared" si="103"/>
        <v>53.590981091023494</v>
      </c>
      <c r="L615" s="46">
        <f t="shared" si="104"/>
        <v>726136750460688.25</v>
      </c>
      <c r="M615" s="47">
        <f>D615/1000*('System Assumptions'!$F$20*1000000)</f>
        <v>276691425000.00018</v>
      </c>
      <c r="N615" s="48"/>
      <c r="O615" s="49">
        <f>(F615/1000)*('System Assumptions'!$F$21*1000000)</f>
        <v>6427291623373.3125</v>
      </c>
      <c r="P615" s="49">
        <f t="shared" si="108"/>
        <v>-6712387398895.0938</v>
      </c>
      <c r="Q615" s="48">
        <f t="shared" si="105"/>
        <v>726128346110166.38</v>
      </c>
      <c r="R615" s="53">
        <f t="shared" si="106"/>
        <v>53.590360825777843</v>
      </c>
      <c r="S615" s="52">
        <v>35</v>
      </c>
    </row>
    <row r="616" spans="1:19">
      <c r="A616" s="3">
        <f t="shared" si="101"/>
        <v>52</v>
      </c>
      <c r="B616" s="3">
        <f t="shared" si="109"/>
        <v>614</v>
      </c>
      <c r="C616" s="40">
        <f t="shared" si="102"/>
        <v>13549607334.625124</v>
      </c>
      <c r="D616" s="41">
        <f>'System Assumptions'!$E$11/12</f>
        <v>75242280</v>
      </c>
      <c r="E616" s="41">
        <f>-'System Assumptions'!$E$10/12</f>
        <v>-133627000</v>
      </c>
      <c r="F616" s="41">
        <f>IF(I615&lt;'System Assumptions'!$E$29,'Hydrological Data Model'!$E$33/12,'Hydrological Data Model'!$E$33/12)</f>
        <v>183636903.52495179</v>
      </c>
      <c r="G616" s="42">
        <f>IF(I615&lt;'System Assumptions'!$E$29,0,-(MIN('Hydrological Data Model'!$E$34,'Hydrological Data Model'!$E$33-'System Assumptions'!$E$12))/12)</f>
        <v>-125252183.52495177</v>
      </c>
      <c r="H616" s="42">
        <f t="shared" si="107"/>
        <v>13549607334.625124</v>
      </c>
      <c r="I616" s="106">
        <f>H616/'System Assumptions'!$F$15</f>
        <v>15.252270619126433</v>
      </c>
      <c r="J616" s="42">
        <f>'System Assumptions'!$E$30+'System Assumptions'!$E$28-'Data Model Calculations'!I616</f>
        <v>64.501329380873571</v>
      </c>
      <c r="K616" s="45">
        <f t="shared" si="103"/>
        <v>53.590360825777843</v>
      </c>
      <c r="L616" s="46">
        <f t="shared" si="104"/>
        <v>726128346110166.38</v>
      </c>
      <c r="M616" s="47">
        <f>D616/1000*('System Assumptions'!$F$20*1000000)</f>
        <v>276691425000.00018</v>
      </c>
      <c r="N616" s="48"/>
      <c r="O616" s="49">
        <f>(F616/1000)*('System Assumptions'!$F$21*1000000)</f>
        <v>6427291623373.3125</v>
      </c>
      <c r="P616" s="49">
        <f t="shared" si="108"/>
        <v>-6712309709318.7119</v>
      </c>
      <c r="Q616" s="48">
        <f t="shared" si="105"/>
        <v>726120019449221</v>
      </c>
      <c r="R616" s="53">
        <f t="shared" si="106"/>
        <v>53.589746294246432</v>
      </c>
      <c r="S616" s="52">
        <v>35</v>
      </c>
    </row>
    <row r="617" spans="1:19">
      <c r="A617" s="3">
        <f t="shared" si="101"/>
        <v>52</v>
      </c>
      <c r="B617" s="3">
        <f t="shared" si="109"/>
        <v>615</v>
      </c>
      <c r="C617" s="40">
        <f t="shared" si="102"/>
        <v>13549607334.625124</v>
      </c>
      <c r="D617" s="41">
        <f>'System Assumptions'!$E$11/12</f>
        <v>75242280</v>
      </c>
      <c r="E617" s="41">
        <f>-'System Assumptions'!$E$10/12</f>
        <v>-133627000</v>
      </c>
      <c r="F617" s="41">
        <f>IF(I616&lt;'System Assumptions'!$E$29,'Hydrological Data Model'!$E$33/12,'Hydrological Data Model'!$E$33/12)</f>
        <v>183636903.52495179</v>
      </c>
      <c r="G617" s="42">
        <f>IF(I616&lt;'System Assumptions'!$E$29,0,-(MIN('Hydrological Data Model'!$E$34,'Hydrological Data Model'!$E$33-'System Assumptions'!$E$12))/12)</f>
        <v>-125252183.52495177</v>
      </c>
      <c r="H617" s="42">
        <f t="shared" si="107"/>
        <v>13549607334.625124</v>
      </c>
      <c r="I617" s="106">
        <f>H617/'System Assumptions'!$F$15</f>
        <v>15.252270619126433</v>
      </c>
      <c r="J617" s="42">
        <f>'System Assumptions'!$E$30+'System Assumptions'!$E$28-'Data Model Calculations'!I617</f>
        <v>64.501329380873571</v>
      </c>
      <c r="K617" s="45">
        <f t="shared" si="103"/>
        <v>53.589746294246432</v>
      </c>
      <c r="L617" s="46">
        <f t="shared" si="104"/>
        <v>726120019449221</v>
      </c>
      <c r="M617" s="47">
        <f>D617/1000*('System Assumptions'!$F$20*1000000)</f>
        <v>276691425000.00018</v>
      </c>
      <c r="N617" s="48"/>
      <c r="O617" s="49">
        <f>(F617/1000)*('System Assumptions'!$F$21*1000000)</f>
        <v>6427291623373.3125</v>
      </c>
      <c r="P617" s="49">
        <f t="shared" si="108"/>
        <v>-6712232737902.5576</v>
      </c>
      <c r="Q617" s="48">
        <f t="shared" si="105"/>
        <v>726111769759691.75</v>
      </c>
      <c r="R617" s="53">
        <f t="shared" si="106"/>
        <v>53.589137443426957</v>
      </c>
      <c r="S617" s="52">
        <v>35</v>
      </c>
    </row>
    <row r="618" spans="1:19">
      <c r="A618" s="3">
        <f t="shared" si="101"/>
        <v>52</v>
      </c>
      <c r="B618" s="3">
        <f t="shared" si="109"/>
        <v>616</v>
      </c>
      <c r="C618" s="40">
        <f t="shared" si="102"/>
        <v>13549607334.625124</v>
      </c>
      <c r="D618" s="41">
        <f>'System Assumptions'!$E$11/12</f>
        <v>75242280</v>
      </c>
      <c r="E618" s="41">
        <f>-'System Assumptions'!$E$10/12</f>
        <v>-133627000</v>
      </c>
      <c r="F618" s="41">
        <f>IF(I617&lt;'System Assumptions'!$E$29,'Hydrological Data Model'!$E$33/12,'Hydrological Data Model'!$E$33/12)</f>
        <v>183636903.52495179</v>
      </c>
      <c r="G618" s="42">
        <f>IF(I617&lt;'System Assumptions'!$E$29,0,-(MIN('Hydrological Data Model'!$E$34,'Hydrological Data Model'!$E$33-'System Assumptions'!$E$12))/12)</f>
        <v>-125252183.52495177</v>
      </c>
      <c r="H618" s="42">
        <f t="shared" si="107"/>
        <v>13549607334.625124</v>
      </c>
      <c r="I618" s="106">
        <f>H618/'System Assumptions'!$F$15</f>
        <v>15.252270619126433</v>
      </c>
      <c r="J618" s="42">
        <f>'System Assumptions'!$E$30+'System Assumptions'!$E$28-'Data Model Calculations'!I618</f>
        <v>64.501329380873571</v>
      </c>
      <c r="K618" s="45">
        <f t="shared" si="103"/>
        <v>53.589137443426957</v>
      </c>
      <c r="L618" s="46">
        <f t="shared" si="104"/>
        <v>726111769759691.75</v>
      </c>
      <c r="M618" s="47">
        <f>D618/1000*('System Assumptions'!$F$20*1000000)</f>
        <v>276691425000.00018</v>
      </c>
      <c r="N618" s="48"/>
      <c r="O618" s="49">
        <f>(F618/1000)*('System Assumptions'!$F$21*1000000)</f>
        <v>6427291623373.3125</v>
      </c>
      <c r="P618" s="49">
        <f t="shared" si="108"/>
        <v>-6712156478007.9775</v>
      </c>
      <c r="Q618" s="48">
        <f t="shared" si="105"/>
        <v>726103596330057</v>
      </c>
      <c r="R618" s="53">
        <f t="shared" si="106"/>
        <v>53.58853422080707</v>
      </c>
      <c r="S618" s="52">
        <v>35</v>
      </c>
    </row>
    <row r="619" spans="1:19">
      <c r="A619" s="3">
        <f t="shared" si="101"/>
        <v>52</v>
      </c>
      <c r="B619" s="3">
        <f t="shared" si="109"/>
        <v>617</v>
      </c>
      <c r="C619" s="40">
        <f t="shared" si="102"/>
        <v>13549607334.625124</v>
      </c>
      <c r="D619" s="41">
        <f>'System Assumptions'!$E$11/12</f>
        <v>75242280</v>
      </c>
      <c r="E619" s="41">
        <f>-'System Assumptions'!$E$10/12</f>
        <v>-133627000</v>
      </c>
      <c r="F619" s="41">
        <f>IF(I618&lt;'System Assumptions'!$E$29,'Hydrological Data Model'!$E$33/12,'Hydrological Data Model'!$E$33/12)</f>
        <v>183636903.52495179</v>
      </c>
      <c r="G619" s="42">
        <f>IF(I618&lt;'System Assumptions'!$E$29,0,-(MIN('Hydrological Data Model'!$E$34,'Hydrological Data Model'!$E$33-'System Assumptions'!$E$12))/12)</f>
        <v>-125252183.52495177</v>
      </c>
      <c r="H619" s="42">
        <f t="shared" si="107"/>
        <v>13549607334.625124</v>
      </c>
      <c r="I619" s="106">
        <f>H619/'System Assumptions'!$F$15</f>
        <v>15.252270619126433</v>
      </c>
      <c r="J619" s="42">
        <f>'System Assumptions'!$E$30+'System Assumptions'!$E$28-'Data Model Calculations'!I619</f>
        <v>64.501329380873571</v>
      </c>
      <c r="K619" s="45">
        <f t="shared" si="103"/>
        <v>53.58853422080707</v>
      </c>
      <c r="L619" s="46">
        <f t="shared" si="104"/>
        <v>726103596330057</v>
      </c>
      <c r="M619" s="47">
        <f>D619/1000*('System Assumptions'!$F$20*1000000)</f>
        <v>276691425000.00018</v>
      </c>
      <c r="N619" s="48"/>
      <c r="O619" s="49">
        <f>(F619/1000)*('System Assumptions'!$F$21*1000000)</f>
        <v>6427291623373.3125</v>
      </c>
      <c r="P619" s="49">
        <f t="shared" si="108"/>
        <v>-6712080923057.6846</v>
      </c>
      <c r="Q619" s="48">
        <f t="shared" si="105"/>
        <v>726095498455372.63</v>
      </c>
      <c r="R619" s="53">
        <f t="shared" si="106"/>
        <v>53.587936574359887</v>
      </c>
      <c r="S619" s="52">
        <v>35</v>
      </c>
    </row>
    <row r="620" spans="1:19">
      <c r="A620" s="3">
        <f t="shared" si="101"/>
        <v>52</v>
      </c>
      <c r="B620" s="3">
        <f t="shared" si="109"/>
        <v>618</v>
      </c>
      <c r="C620" s="40">
        <f t="shared" si="102"/>
        <v>13549607334.625124</v>
      </c>
      <c r="D620" s="41">
        <f>'System Assumptions'!$E$11/12</f>
        <v>75242280</v>
      </c>
      <c r="E620" s="41">
        <f>-'System Assumptions'!$E$10/12</f>
        <v>-133627000</v>
      </c>
      <c r="F620" s="41">
        <f>IF(I619&lt;'System Assumptions'!$E$29,'Hydrological Data Model'!$E$33/12,'Hydrological Data Model'!$E$33/12)</f>
        <v>183636903.52495179</v>
      </c>
      <c r="G620" s="42">
        <f>IF(I619&lt;'System Assumptions'!$E$29,0,-(MIN('Hydrological Data Model'!$E$34,'Hydrological Data Model'!$E$33-'System Assumptions'!$E$12))/12)</f>
        <v>-125252183.52495177</v>
      </c>
      <c r="H620" s="42">
        <f t="shared" si="107"/>
        <v>13549607334.625124</v>
      </c>
      <c r="I620" s="106">
        <f>H620/'System Assumptions'!$F$15</f>
        <v>15.252270619126433</v>
      </c>
      <c r="J620" s="42">
        <f>'System Assumptions'!$E$30+'System Assumptions'!$E$28-'Data Model Calculations'!I620</f>
        <v>64.501329380873571</v>
      </c>
      <c r="K620" s="45">
        <f t="shared" si="103"/>
        <v>53.587936574359887</v>
      </c>
      <c r="L620" s="46">
        <f t="shared" si="104"/>
        <v>726095498455372.63</v>
      </c>
      <c r="M620" s="47">
        <f>D620/1000*('System Assumptions'!$F$20*1000000)</f>
        <v>276691425000.00018</v>
      </c>
      <c r="N620" s="48"/>
      <c r="O620" s="49">
        <f>(F620/1000)*('System Assumptions'!$F$21*1000000)</f>
        <v>6427291623373.3125</v>
      </c>
      <c r="P620" s="49">
        <f t="shared" si="108"/>
        <v>-6712006066535.2002</v>
      </c>
      <c r="Q620" s="48">
        <f t="shared" si="105"/>
        <v>726087475437210.75</v>
      </c>
      <c r="R620" s="53">
        <f t="shared" si="106"/>
        <v>53.587344452539398</v>
      </c>
      <c r="S620" s="52">
        <v>35</v>
      </c>
    </row>
    <row r="621" spans="1:19">
      <c r="A621" s="3">
        <f t="shared" si="101"/>
        <v>52</v>
      </c>
      <c r="B621" s="3">
        <f t="shared" si="109"/>
        <v>619</v>
      </c>
      <c r="C621" s="40">
        <f t="shared" si="102"/>
        <v>13549607334.625124</v>
      </c>
      <c r="D621" s="41">
        <f>'System Assumptions'!$E$11/12</f>
        <v>75242280</v>
      </c>
      <c r="E621" s="41">
        <f>-'System Assumptions'!$E$10/12</f>
        <v>-133627000</v>
      </c>
      <c r="F621" s="41">
        <f>IF(I620&lt;'System Assumptions'!$E$29,'Hydrological Data Model'!$E$33/12,'Hydrological Data Model'!$E$33/12)</f>
        <v>183636903.52495179</v>
      </c>
      <c r="G621" s="42">
        <f>IF(I620&lt;'System Assumptions'!$E$29,0,-(MIN('Hydrological Data Model'!$E$34,'Hydrological Data Model'!$E$33-'System Assumptions'!$E$12))/12)</f>
        <v>-125252183.52495177</v>
      </c>
      <c r="H621" s="42">
        <f t="shared" si="107"/>
        <v>13549607334.625124</v>
      </c>
      <c r="I621" s="106">
        <f>H621/'System Assumptions'!$F$15</f>
        <v>15.252270619126433</v>
      </c>
      <c r="J621" s="42">
        <f>'System Assumptions'!$E$30+'System Assumptions'!$E$28-'Data Model Calculations'!I621</f>
        <v>64.501329380873571</v>
      </c>
      <c r="K621" s="45">
        <f t="shared" si="103"/>
        <v>53.587344452539398</v>
      </c>
      <c r="L621" s="46">
        <f t="shared" si="104"/>
        <v>726087475437210.75</v>
      </c>
      <c r="M621" s="47">
        <f>D621/1000*('System Assumptions'!$F$20*1000000)</f>
        <v>276691425000.00018</v>
      </c>
      <c r="N621" s="48"/>
      <c r="O621" s="49">
        <f>(F621/1000)*('System Assumptions'!$F$21*1000000)</f>
        <v>6427291623373.3125</v>
      </c>
      <c r="P621" s="49">
        <f t="shared" si="108"/>
        <v>-6711931901984.2715</v>
      </c>
      <c r="Q621" s="48">
        <f t="shared" si="105"/>
        <v>726079526583599.75</v>
      </c>
      <c r="R621" s="53">
        <f t="shared" si="106"/>
        <v>53.586757804276111</v>
      </c>
      <c r="S621" s="52">
        <v>35</v>
      </c>
    </row>
    <row r="622" spans="1:19">
      <c r="A622" s="3">
        <f t="shared" si="101"/>
        <v>52</v>
      </c>
      <c r="B622" s="3">
        <f t="shared" si="109"/>
        <v>620</v>
      </c>
      <c r="C622" s="40">
        <f t="shared" si="102"/>
        <v>13549607334.625124</v>
      </c>
      <c r="D622" s="41">
        <f>'System Assumptions'!$E$11/12</f>
        <v>75242280</v>
      </c>
      <c r="E622" s="41">
        <f>-'System Assumptions'!$E$10/12</f>
        <v>-133627000</v>
      </c>
      <c r="F622" s="41">
        <f>IF(I621&lt;'System Assumptions'!$E$29,'Hydrological Data Model'!$E$33/12,'Hydrological Data Model'!$E$33/12)</f>
        <v>183636903.52495179</v>
      </c>
      <c r="G622" s="42">
        <f>IF(I621&lt;'System Assumptions'!$E$29,0,-(MIN('Hydrological Data Model'!$E$34,'Hydrological Data Model'!$E$33-'System Assumptions'!$E$12))/12)</f>
        <v>-125252183.52495177</v>
      </c>
      <c r="H622" s="42">
        <f t="shared" si="107"/>
        <v>13549607334.625124</v>
      </c>
      <c r="I622" s="106">
        <f>H622/'System Assumptions'!$F$15</f>
        <v>15.252270619126433</v>
      </c>
      <c r="J622" s="42">
        <f>'System Assumptions'!$E$30+'System Assumptions'!$E$28-'Data Model Calculations'!I622</f>
        <v>64.501329380873571</v>
      </c>
      <c r="K622" s="45">
        <f t="shared" si="103"/>
        <v>53.586757804276111</v>
      </c>
      <c r="L622" s="46">
        <f t="shared" si="104"/>
        <v>726079526583599.75</v>
      </c>
      <c r="M622" s="47">
        <f>D622/1000*('System Assumptions'!$F$20*1000000)</f>
        <v>276691425000.00018</v>
      </c>
      <c r="N622" s="48"/>
      <c r="O622" s="49">
        <f>(F622/1000)*('System Assumptions'!$F$21*1000000)</f>
        <v>6427291623373.3125</v>
      </c>
      <c r="P622" s="49">
        <f t="shared" si="108"/>
        <v>-6711858423008.333</v>
      </c>
      <c r="Q622" s="48">
        <f t="shared" si="105"/>
        <v>726071651208964.63</v>
      </c>
      <c r="R622" s="53">
        <f t="shared" si="106"/>
        <v>53.586176578972633</v>
      </c>
      <c r="S622" s="52">
        <v>35</v>
      </c>
    </row>
    <row r="623" spans="1:19">
      <c r="A623" s="3">
        <f t="shared" si="101"/>
        <v>52</v>
      </c>
      <c r="B623" s="3">
        <f t="shared" si="109"/>
        <v>621</v>
      </c>
      <c r="C623" s="40">
        <f t="shared" si="102"/>
        <v>13549607334.625124</v>
      </c>
      <c r="D623" s="41">
        <f>'System Assumptions'!$E$11/12</f>
        <v>75242280</v>
      </c>
      <c r="E623" s="41">
        <f>-'System Assumptions'!$E$10/12</f>
        <v>-133627000</v>
      </c>
      <c r="F623" s="41">
        <f>IF(I622&lt;'System Assumptions'!$E$29,'Hydrological Data Model'!$E$33/12,'Hydrological Data Model'!$E$33/12)</f>
        <v>183636903.52495179</v>
      </c>
      <c r="G623" s="42">
        <f>IF(I622&lt;'System Assumptions'!$E$29,0,-(MIN('Hydrological Data Model'!$E$34,'Hydrological Data Model'!$E$33-'System Assumptions'!$E$12))/12)</f>
        <v>-125252183.52495177</v>
      </c>
      <c r="H623" s="42">
        <f t="shared" si="107"/>
        <v>13549607334.625124</v>
      </c>
      <c r="I623" s="106">
        <f>H623/'System Assumptions'!$F$15</f>
        <v>15.252270619126433</v>
      </c>
      <c r="J623" s="42">
        <f>'System Assumptions'!$E$30+'System Assumptions'!$E$28-'Data Model Calculations'!I623</f>
        <v>64.501329380873571</v>
      </c>
      <c r="K623" s="45">
        <f t="shared" si="103"/>
        <v>53.586176578972633</v>
      </c>
      <c r="L623" s="46">
        <f t="shared" si="104"/>
        <v>726071651208964.63</v>
      </c>
      <c r="M623" s="47">
        <f>D623/1000*('System Assumptions'!$F$20*1000000)</f>
        <v>276691425000.00018</v>
      </c>
      <c r="N623" s="48"/>
      <c r="O623" s="49">
        <f>(F623/1000)*('System Assumptions'!$F$21*1000000)</f>
        <v>6427291623373.3125</v>
      </c>
      <c r="P623" s="49">
        <f t="shared" si="108"/>
        <v>-6711785623269.9521</v>
      </c>
      <c r="Q623" s="48">
        <f t="shared" si="105"/>
        <v>726063848634068</v>
      </c>
      <c r="R623" s="53">
        <f t="shared" si="106"/>
        <v>53.58560072649928</v>
      </c>
      <c r="S623" s="52">
        <v>35</v>
      </c>
    </row>
    <row r="624" spans="1:19">
      <c r="A624" s="3">
        <f t="shared" si="101"/>
        <v>52</v>
      </c>
      <c r="B624" s="3">
        <f t="shared" si="109"/>
        <v>622</v>
      </c>
      <c r="C624" s="40">
        <f t="shared" si="102"/>
        <v>13549607334.625124</v>
      </c>
      <c r="D624" s="41">
        <f>'System Assumptions'!$E$11/12</f>
        <v>75242280</v>
      </c>
      <c r="E624" s="41">
        <f>-'System Assumptions'!$E$10/12</f>
        <v>-133627000</v>
      </c>
      <c r="F624" s="41">
        <f>IF(I623&lt;'System Assumptions'!$E$29,'Hydrological Data Model'!$E$33/12,'Hydrological Data Model'!$E$33/12)</f>
        <v>183636903.52495179</v>
      </c>
      <c r="G624" s="42">
        <f>IF(I623&lt;'System Assumptions'!$E$29,0,-(MIN('Hydrological Data Model'!$E$34,'Hydrological Data Model'!$E$33-'System Assumptions'!$E$12))/12)</f>
        <v>-125252183.52495177</v>
      </c>
      <c r="H624" s="42">
        <f t="shared" si="107"/>
        <v>13549607334.625124</v>
      </c>
      <c r="I624" s="106">
        <f>H624/'System Assumptions'!$F$15</f>
        <v>15.252270619126433</v>
      </c>
      <c r="J624" s="42">
        <f>'System Assumptions'!$E$30+'System Assumptions'!$E$28-'Data Model Calculations'!I624</f>
        <v>64.501329380873571</v>
      </c>
      <c r="K624" s="45">
        <f t="shared" si="103"/>
        <v>53.58560072649928</v>
      </c>
      <c r="L624" s="46">
        <f t="shared" si="104"/>
        <v>726063848634068</v>
      </c>
      <c r="M624" s="47">
        <f>D624/1000*('System Assumptions'!$F$20*1000000)</f>
        <v>276691425000.00018</v>
      </c>
      <c r="N624" s="48"/>
      <c r="O624" s="49">
        <f>(F624/1000)*('System Assumptions'!$F$21*1000000)</f>
        <v>6427291623373.3125</v>
      </c>
      <c r="P624" s="49">
        <f t="shared" si="108"/>
        <v>-6711713496490.2764</v>
      </c>
      <c r="Q624" s="48">
        <f t="shared" si="105"/>
        <v>726056118185951</v>
      </c>
      <c r="R624" s="53">
        <f t="shared" si="106"/>
        <v>53.585030197189752</v>
      </c>
      <c r="S624" s="52">
        <v>35</v>
      </c>
    </row>
    <row r="625" spans="1:19">
      <c r="A625" s="3">
        <f t="shared" si="101"/>
        <v>52</v>
      </c>
      <c r="B625" s="3">
        <f t="shared" si="109"/>
        <v>623</v>
      </c>
      <c r="C625" s="40">
        <f t="shared" si="102"/>
        <v>13549607334.625124</v>
      </c>
      <c r="D625" s="41">
        <f>'System Assumptions'!$E$11/12</f>
        <v>75242280</v>
      </c>
      <c r="E625" s="41">
        <f>-'System Assumptions'!$E$10/12</f>
        <v>-133627000</v>
      </c>
      <c r="F625" s="41">
        <f>IF(I624&lt;'System Assumptions'!$E$29,'Hydrological Data Model'!$E$33/12,'Hydrological Data Model'!$E$33/12)</f>
        <v>183636903.52495179</v>
      </c>
      <c r="G625" s="42">
        <f>IF(I624&lt;'System Assumptions'!$E$29,0,-(MIN('Hydrological Data Model'!$E$34,'Hydrological Data Model'!$E$33-'System Assumptions'!$E$12))/12)</f>
        <v>-125252183.52495177</v>
      </c>
      <c r="H625" s="42">
        <f t="shared" si="107"/>
        <v>13549607334.625124</v>
      </c>
      <c r="I625" s="106">
        <f>H625/'System Assumptions'!$F$15</f>
        <v>15.252270619126433</v>
      </c>
      <c r="J625" s="42">
        <f>'System Assumptions'!$E$30+'System Assumptions'!$E$28-'Data Model Calculations'!I625</f>
        <v>64.501329380873571</v>
      </c>
      <c r="K625" s="45">
        <f t="shared" si="103"/>
        <v>53.585030197189752</v>
      </c>
      <c r="L625" s="46">
        <f t="shared" si="104"/>
        <v>726056118185951</v>
      </c>
      <c r="M625" s="47">
        <f>D625/1000*('System Assumptions'!$F$20*1000000)</f>
        <v>276691425000.00018</v>
      </c>
      <c r="N625" s="48"/>
      <c r="O625" s="49">
        <f>(F625/1000)*('System Assumptions'!$F$21*1000000)</f>
        <v>6427291623373.3125</v>
      </c>
      <c r="P625" s="49">
        <f t="shared" si="108"/>
        <v>-6711642036448.4932</v>
      </c>
      <c r="Q625" s="48">
        <f t="shared" si="105"/>
        <v>726048459197875.75</v>
      </c>
      <c r="R625" s="53">
        <f t="shared" si="106"/>
        <v>53.58446494183687</v>
      </c>
      <c r="S625" s="52">
        <v>35</v>
      </c>
    </row>
    <row r="626" spans="1:19">
      <c r="A626" s="3">
        <f t="shared" si="101"/>
        <v>52</v>
      </c>
      <c r="B626" s="3">
        <f t="shared" si="109"/>
        <v>624</v>
      </c>
      <c r="C626" s="40">
        <f t="shared" si="102"/>
        <v>13549607334.625124</v>
      </c>
      <c r="D626" s="41">
        <f>'System Assumptions'!$E$11/12</f>
        <v>75242280</v>
      </c>
      <c r="E626" s="41">
        <f>-'System Assumptions'!$E$10/12</f>
        <v>-133627000</v>
      </c>
      <c r="F626" s="41">
        <f>IF(I625&lt;'System Assumptions'!$E$29,'Hydrological Data Model'!$E$33/12,'Hydrological Data Model'!$E$33/12)</f>
        <v>183636903.52495179</v>
      </c>
      <c r="G626" s="42">
        <f>IF(I625&lt;'System Assumptions'!$E$29,0,-(MIN('Hydrological Data Model'!$E$34,'Hydrological Data Model'!$E$33-'System Assumptions'!$E$12))/12)</f>
        <v>-125252183.52495177</v>
      </c>
      <c r="H626" s="42">
        <f t="shared" si="107"/>
        <v>13549607334.625124</v>
      </c>
      <c r="I626" s="106">
        <f>H626/'System Assumptions'!$F$15</f>
        <v>15.252270619126433</v>
      </c>
      <c r="J626" s="42">
        <f>'System Assumptions'!$E$30+'System Assumptions'!$E$28-'Data Model Calculations'!I626</f>
        <v>64.501329380873571</v>
      </c>
      <c r="K626" s="45">
        <f t="shared" si="103"/>
        <v>53.58446494183687</v>
      </c>
      <c r="L626" s="46">
        <f t="shared" si="104"/>
        <v>726048459197875.75</v>
      </c>
      <c r="M626" s="47">
        <f>D626/1000*('System Assumptions'!$F$20*1000000)</f>
        <v>276691425000.00018</v>
      </c>
      <c r="N626" s="48"/>
      <c r="O626" s="49">
        <f>(F626/1000)*('System Assumptions'!$F$21*1000000)</f>
        <v>6427291623373.3125</v>
      </c>
      <c r="P626" s="49">
        <f t="shared" si="108"/>
        <v>-6711571236981.2959</v>
      </c>
      <c r="Q626" s="48">
        <f t="shared" si="105"/>
        <v>726040871009267.75</v>
      </c>
      <c r="R626" s="53">
        <f t="shared" si="106"/>
        <v>53.58390491168835</v>
      </c>
      <c r="S626" s="52">
        <v>35</v>
      </c>
    </row>
    <row r="627" spans="1:19">
      <c r="A627" s="3">
        <f t="shared" si="101"/>
        <v>53</v>
      </c>
      <c r="B627" s="3">
        <f t="shared" si="109"/>
        <v>625</v>
      </c>
      <c r="C627" s="40">
        <f t="shared" si="102"/>
        <v>13549607334.625124</v>
      </c>
      <c r="D627" s="41">
        <f>'System Assumptions'!$E$11/12</f>
        <v>75242280</v>
      </c>
      <c r="E627" s="41">
        <f>-'System Assumptions'!$E$10/12</f>
        <v>-133627000</v>
      </c>
      <c r="F627" s="41">
        <f>IF(I626&lt;'System Assumptions'!$E$29,'Hydrological Data Model'!$E$33/12,'Hydrological Data Model'!$E$33/12)</f>
        <v>183636903.52495179</v>
      </c>
      <c r="G627" s="42">
        <f>IF(I626&lt;'System Assumptions'!$E$29,0,-(MIN('Hydrological Data Model'!$E$34,'Hydrological Data Model'!$E$33-'System Assumptions'!$E$12))/12)</f>
        <v>-125252183.52495177</v>
      </c>
      <c r="H627" s="42">
        <f t="shared" si="107"/>
        <v>13549607334.625124</v>
      </c>
      <c r="I627" s="106">
        <f>H627/'System Assumptions'!$F$15</f>
        <v>15.252270619126433</v>
      </c>
      <c r="J627" s="42">
        <f>'System Assumptions'!$E$30+'System Assumptions'!$E$28-'Data Model Calculations'!I627</f>
        <v>64.501329380873571</v>
      </c>
      <c r="K627" s="45">
        <f t="shared" si="103"/>
        <v>53.58390491168835</v>
      </c>
      <c r="L627" s="46">
        <f t="shared" si="104"/>
        <v>726040871009267.75</v>
      </c>
      <c r="M627" s="47">
        <f>D627/1000*('System Assumptions'!$F$20*1000000)</f>
        <v>276691425000.00018</v>
      </c>
      <c r="N627" s="48"/>
      <c r="O627" s="49">
        <f>(F627/1000)*('System Assumptions'!$F$21*1000000)</f>
        <v>6427291623373.3125</v>
      </c>
      <c r="P627" s="49">
        <f t="shared" si="108"/>
        <v>-6711501091982.3535</v>
      </c>
      <c r="Q627" s="48">
        <f t="shared" si="105"/>
        <v>726033352965658.63</v>
      </c>
      <c r="R627" s="53">
        <f t="shared" si="106"/>
        <v>53.583350058442541</v>
      </c>
      <c r="S627" s="52">
        <v>35</v>
      </c>
    </row>
    <row r="628" spans="1:19">
      <c r="A628" s="3">
        <f t="shared" si="101"/>
        <v>53</v>
      </c>
      <c r="B628" s="3">
        <f t="shared" si="109"/>
        <v>626</v>
      </c>
      <c r="C628" s="40">
        <f t="shared" si="102"/>
        <v>13549607334.625124</v>
      </c>
      <c r="D628" s="41">
        <f>'System Assumptions'!$E$11/12</f>
        <v>75242280</v>
      </c>
      <c r="E628" s="41">
        <f>-'System Assumptions'!$E$10/12</f>
        <v>-133627000</v>
      </c>
      <c r="F628" s="41">
        <f>IF(I627&lt;'System Assumptions'!$E$29,'Hydrological Data Model'!$E$33/12,'Hydrological Data Model'!$E$33/12)</f>
        <v>183636903.52495179</v>
      </c>
      <c r="G628" s="42">
        <f>IF(I627&lt;'System Assumptions'!$E$29,0,-(MIN('Hydrological Data Model'!$E$34,'Hydrological Data Model'!$E$33-'System Assumptions'!$E$12))/12)</f>
        <v>-125252183.52495177</v>
      </c>
      <c r="H628" s="42">
        <f t="shared" si="107"/>
        <v>13549607334.625124</v>
      </c>
      <c r="I628" s="106">
        <f>H628/'System Assumptions'!$F$15</f>
        <v>15.252270619126433</v>
      </c>
      <c r="J628" s="42">
        <f>'System Assumptions'!$E$30+'System Assumptions'!$E$28-'Data Model Calculations'!I628</f>
        <v>64.501329380873571</v>
      </c>
      <c r="K628" s="45">
        <f t="shared" si="103"/>
        <v>53.583350058442541</v>
      </c>
      <c r="L628" s="46">
        <f t="shared" si="104"/>
        <v>726033352965658.63</v>
      </c>
      <c r="M628" s="47">
        <f>D628/1000*('System Assumptions'!$F$20*1000000)</f>
        <v>276691425000.00018</v>
      </c>
      <c r="N628" s="48"/>
      <c r="O628" s="49">
        <f>(F628/1000)*('System Assumptions'!$F$21*1000000)</f>
        <v>6427291623373.3125</v>
      </c>
      <c r="P628" s="49">
        <f t="shared" si="108"/>
        <v>-6711431595401.7803</v>
      </c>
      <c r="Q628" s="48">
        <f t="shared" si="105"/>
        <v>726025904418630.25</v>
      </c>
      <c r="R628" s="53">
        <f t="shared" si="106"/>
        <v>53.582800334244311</v>
      </c>
      <c r="S628" s="52">
        <v>35</v>
      </c>
    </row>
    <row r="629" spans="1:19">
      <c r="A629" s="3">
        <f t="shared" si="101"/>
        <v>53</v>
      </c>
      <c r="B629" s="3">
        <f t="shared" si="109"/>
        <v>627</v>
      </c>
      <c r="C629" s="40">
        <f t="shared" si="102"/>
        <v>13549607334.625124</v>
      </c>
      <c r="D629" s="41">
        <f>'System Assumptions'!$E$11/12</f>
        <v>75242280</v>
      </c>
      <c r="E629" s="41">
        <f>-'System Assumptions'!$E$10/12</f>
        <v>-133627000</v>
      </c>
      <c r="F629" s="41">
        <f>IF(I628&lt;'System Assumptions'!$E$29,'Hydrological Data Model'!$E$33/12,'Hydrological Data Model'!$E$33/12)</f>
        <v>183636903.52495179</v>
      </c>
      <c r="G629" s="42">
        <f>IF(I628&lt;'System Assumptions'!$E$29,0,-(MIN('Hydrological Data Model'!$E$34,'Hydrological Data Model'!$E$33-'System Assumptions'!$E$12))/12)</f>
        <v>-125252183.52495177</v>
      </c>
      <c r="H629" s="42">
        <f t="shared" si="107"/>
        <v>13549607334.625124</v>
      </c>
      <c r="I629" s="106">
        <f>H629/'System Assumptions'!$F$15</f>
        <v>15.252270619126433</v>
      </c>
      <c r="J629" s="42">
        <f>'System Assumptions'!$E$30+'System Assumptions'!$E$28-'Data Model Calculations'!I629</f>
        <v>64.501329380873571</v>
      </c>
      <c r="K629" s="45">
        <f t="shared" si="103"/>
        <v>53.582800334244311</v>
      </c>
      <c r="L629" s="46">
        <f t="shared" si="104"/>
        <v>726025904418630.25</v>
      </c>
      <c r="M629" s="47">
        <f>D629/1000*('System Assumptions'!$F$20*1000000)</f>
        <v>276691425000.00018</v>
      </c>
      <c r="N629" s="48"/>
      <c r="O629" s="49">
        <f>(F629/1000)*('System Assumptions'!$F$21*1000000)</f>
        <v>6427291623373.3125</v>
      </c>
      <c r="P629" s="49">
        <f t="shared" si="108"/>
        <v>-6711362741245.6152</v>
      </c>
      <c r="Q629" s="48">
        <f t="shared" si="105"/>
        <v>726018524725757.88</v>
      </c>
      <c r="R629" s="53">
        <f t="shared" si="106"/>
        <v>53.582255691680864</v>
      </c>
      <c r="S629" s="52">
        <v>35</v>
      </c>
    </row>
    <row r="630" spans="1:19">
      <c r="A630" s="3">
        <f t="shared" si="101"/>
        <v>53</v>
      </c>
      <c r="B630" s="3">
        <f t="shared" si="109"/>
        <v>628</v>
      </c>
      <c r="C630" s="40">
        <f t="shared" si="102"/>
        <v>13549607334.625124</v>
      </c>
      <c r="D630" s="41">
        <f>'System Assumptions'!$E$11/12</f>
        <v>75242280</v>
      </c>
      <c r="E630" s="41">
        <f>-'System Assumptions'!$E$10/12</f>
        <v>-133627000</v>
      </c>
      <c r="F630" s="41">
        <f>IF(I629&lt;'System Assumptions'!$E$29,'Hydrological Data Model'!$E$33/12,'Hydrological Data Model'!$E$33/12)</f>
        <v>183636903.52495179</v>
      </c>
      <c r="G630" s="42">
        <f>IF(I629&lt;'System Assumptions'!$E$29,0,-(MIN('Hydrological Data Model'!$E$34,'Hydrological Data Model'!$E$33-'System Assumptions'!$E$12))/12)</f>
        <v>-125252183.52495177</v>
      </c>
      <c r="H630" s="42">
        <f t="shared" si="107"/>
        <v>13549607334.625124</v>
      </c>
      <c r="I630" s="106">
        <f>H630/'System Assumptions'!$F$15</f>
        <v>15.252270619126433</v>
      </c>
      <c r="J630" s="42">
        <f>'System Assumptions'!$E$30+'System Assumptions'!$E$28-'Data Model Calculations'!I630</f>
        <v>64.501329380873571</v>
      </c>
      <c r="K630" s="45">
        <f t="shared" si="103"/>
        <v>53.582255691680864</v>
      </c>
      <c r="L630" s="46">
        <f t="shared" si="104"/>
        <v>726018524725757.88</v>
      </c>
      <c r="M630" s="47">
        <f>D630/1000*('System Assumptions'!$F$20*1000000)</f>
        <v>276691425000.00018</v>
      </c>
      <c r="N630" s="48"/>
      <c r="O630" s="49">
        <f>(F630/1000)*('System Assumptions'!$F$21*1000000)</f>
        <v>6427291623373.3125</v>
      </c>
      <c r="P630" s="49">
        <f t="shared" si="108"/>
        <v>-6711294523575.3027</v>
      </c>
      <c r="Q630" s="48">
        <f t="shared" si="105"/>
        <v>726011213250556</v>
      </c>
      <c r="R630" s="53">
        <f t="shared" si="106"/>
        <v>53.581716083777756</v>
      </c>
      <c r="S630" s="52">
        <v>35</v>
      </c>
    </row>
    <row r="631" spans="1:19">
      <c r="A631" s="3">
        <f t="shared" si="101"/>
        <v>53</v>
      </c>
      <c r="B631" s="3">
        <f t="shared" si="109"/>
        <v>629</v>
      </c>
      <c r="C631" s="40">
        <f t="shared" si="102"/>
        <v>13549607334.625124</v>
      </c>
      <c r="D631" s="41">
        <f>'System Assumptions'!$E$11/12</f>
        <v>75242280</v>
      </c>
      <c r="E631" s="41">
        <f>-'System Assumptions'!$E$10/12</f>
        <v>-133627000</v>
      </c>
      <c r="F631" s="41">
        <f>IF(I630&lt;'System Assumptions'!$E$29,'Hydrological Data Model'!$E$33/12,'Hydrological Data Model'!$E$33/12)</f>
        <v>183636903.52495179</v>
      </c>
      <c r="G631" s="42">
        <f>IF(I630&lt;'System Assumptions'!$E$29,0,-(MIN('Hydrological Data Model'!$E$34,'Hydrological Data Model'!$E$33-'System Assumptions'!$E$12))/12)</f>
        <v>-125252183.52495177</v>
      </c>
      <c r="H631" s="42">
        <f t="shared" si="107"/>
        <v>13549607334.625124</v>
      </c>
      <c r="I631" s="106">
        <f>H631/'System Assumptions'!$F$15</f>
        <v>15.252270619126433</v>
      </c>
      <c r="J631" s="42">
        <f>'System Assumptions'!$E$30+'System Assumptions'!$E$28-'Data Model Calculations'!I631</f>
        <v>64.501329380873571</v>
      </c>
      <c r="K631" s="45">
        <f t="shared" si="103"/>
        <v>53.581716083777756</v>
      </c>
      <c r="L631" s="46">
        <f t="shared" si="104"/>
        <v>726011213250556</v>
      </c>
      <c r="M631" s="47">
        <f>D631/1000*('System Assumptions'!$F$20*1000000)</f>
        <v>276691425000.00018</v>
      </c>
      <c r="N631" s="48"/>
      <c r="O631" s="49">
        <f>(F631/1000)*('System Assumptions'!$F$21*1000000)</f>
        <v>6427291623373.3125</v>
      </c>
      <c r="P631" s="49">
        <f t="shared" si="108"/>
        <v>-6711226936507.1914</v>
      </c>
      <c r="Q631" s="48">
        <f t="shared" si="105"/>
        <v>726003969362422</v>
      </c>
      <c r="R631" s="53">
        <f t="shared" si="106"/>
        <v>53.581181463994675</v>
      </c>
      <c r="S631" s="52">
        <v>35</v>
      </c>
    </row>
    <row r="632" spans="1:19">
      <c r="A632" s="3">
        <f t="shared" si="101"/>
        <v>53</v>
      </c>
      <c r="B632" s="3">
        <f t="shared" si="109"/>
        <v>630</v>
      </c>
      <c r="C632" s="40">
        <f t="shared" si="102"/>
        <v>13549607334.625124</v>
      </c>
      <c r="D632" s="41">
        <f>'System Assumptions'!$E$11/12</f>
        <v>75242280</v>
      </c>
      <c r="E632" s="41">
        <f>-'System Assumptions'!$E$10/12</f>
        <v>-133627000</v>
      </c>
      <c r="F632" s="41">
        <f>IF(I631&lt;'System Assumptions'!$E$29,'Hydrological Data Model'!$E$33/12,'Hydrological Data Model'!$E$33/12)</f>
        <v>183636903.52495179</v>
      </c>
      <c r="G632" s="42">
        <f>IF(I631&lt;'System Assumptions'!$E$29,0,-(MIN('Hydrological Data Model'!$E$34,'Hydrological Data Model'!$E$33-'System Assumptions'!$E$12))/12)</f>
        <v>-125252183.52495177</v>
      </c>
      <c r="H632" s="42">
        <f t="shared" si="107"/>
        <v>13549607334.625124</v>
      </c>
      <c r="I632" s="106">
        <f>H632/'System Assumptions'!$F$15</f>
        <v>15.252270619126433</v>
      </c>
      <c r="J632" s="42">
        <f>'System Assumptions'!$E$30+'System Assumptions'!$E$28-'Data Model Calculations'!I632</f>
        <v>64.501329380873571</v>
      </c>
      <c r="K632" s="45">
        <f t="shared" si="103"/>
        <v>53.581181463994675</v>
      </c>
      <c r="L632" s="46">
        <f t="shared" si="104"/>
        <v>726003969362422</v>
      </c>
      <c r="M632" s="47">
        <f>D632/1000*('System Assumptions'!$F$20*1000000)</f>
        <v>276691425000.00018</v>
      </c>
      <c r="N632" s="48"/>
      <c r="O632" s="49">
        <f>(F632/1000)*('System Assumptions'!$F$21*1000000)</f>
        <v>6427291623373.3125</v>
      </c>
      <c r="P632" s="49">
        <f t="shared" si="108"/>
        <v>-6711159974212.0049</v>
      </c>
      <c r="Q632" s="48">
        <f t="shared" si="105"/>
        <v>725996792436583.25</v>
      </c>
      <c r="R632" s="53">
        <f t="shared" si="106"/>
        <v>53.58065178622163</v>
      </c>
      <c r="S632" s="52">
        <v>35</v>
      </c>
    </row>
    <row r="633" spans="1:19">
      <c r="A633" s="3">
        <f t="shared" si="101"/>
        <v>53</v>
      </c>
      <c r="B633" s="3">
        <f t="shared" si="109"/>
        <v>631</v>
      </c>
      <c r="C633" s="40">
        <f t="shared" si="102"/>
        <v>13549607334.625124</v>
      </c>
      <c r="D633" s="41">
        <f>'System Assumptions'!$E$11/12</f>
        <v>75242280</v>
      </c>
      <c r="E633" s="41">
        <f>-'System Assumptions'!$E$10/12</f>
        <v>-133627000</v>
      </c>
      <c r="F633" s="41">
        <f>IF(I632&lt;'System Assumptions'!$E$29,'Hydrological Data Model'!$E$33/12,'Hydrological Data Model'!$E$33/12)</f>
        <v>183636903.52495179</v>
      </c>
      <c r="G633" s="42">
        <f>IF(I632&lt;'System Assumptions'!$E$29,0,-(MIN('Hydrological Data Model'!$E$34,'Hydrological Data Model'!$E$33-'System Assumptions'!$E$12))/12)</f>
        <v>-125252183.52495177</v>
      </c>
      <c r="H633" s="42">
        <f t="shared" si="107"/>
        <v>13549607334.625124</v>
      </c>
      <c r="I633" s="106">
        <f>H633/'System Assumptions'!$F$15</f>
        <v>15.252270619126433</v>
      </c>
      <c r="J633" s="42">
        <f>'System Assumptions'!$E$30+'System Assumptions'!$E$28-'Data Model Calculations'!I633</f>
        <v>64.501329380873571</v>
      </c>
      <c r="K633" s="45">
        <f t="shared" si="103"/>
        <v>53.58065178622163</v>
      </c>
      <c r="L633" s="46">
        <f t="shared" si="104"/>
        <v>725996792436583.25</v>
      </c>
      <c r="M633" s="47">
        <f>D633/1000*('System Assumptions'!$F$20*1000000)</f>
        <v>276691425000.00018</v>
      </c>
      <c r="N633" s="48"/>
      <c r="O633" s="49">
        <f>(F633/1000)*('System Assumptions'!$F$21*1000000)</f>
        <v>6427291623373.3125</v>
      </c>
      <c r="P633" s="49">
        <f t="shared" si="108"/>
        <v>-6711093630914.3662</v>
      </c>
      <c r="Q633" s="48">
        <f t="shared" si="105"/>
        <v>725989681854042.13</v>
      </c>
      <c r="R633" s="53">
        <f t="shared" si="106"/>
        <v>53.580127004774788</v>
      </c>
      <c r="S633" s="52">
        <v>35</v>
      </c>
    </row>
    <row r="634" spans="1:19">
      <c r="A634" s="3">
        <f t="shared" si="101"/>
        <v>53</v>
      </c>
      <c r="B634" s="3">
        <f t="shared" si="109"/>
        <v>632</v>
      </c>
      <c r="C634" s="40">
        <f t="shared" si="102"/>
        <v>13549607334.625124</v>
      </c>
      <c r="D634" s="41">
        <f>'System Assumptions'!$E$11/12</f>
        <v>75242280</v>
      </c>
      <c r="E634" s="41">
        <f>-'System Assumptions'!$E$10/12</f>
        <v>-133627000</v>
      </c>
      <c r="F634" s="41">
        <f>IF(I633&lt;'System Assumptions'!$E$29,'Hydrological Data Model'!$E$33/12,'Hydrological Data Model'!$E$33/12)</f>
        <v>183636903.52495179</v>
      </c>
      <c r="G634" s="42">
        <f>IF(I633&lt;'System Assumptions'!$E$29,0,-(MIN('Hydrological Data Model'!$E$34,'Hydrological Data Model'!$E$33-'System Assumptions'!$E$12))/12)</f>
        <v>-125252183.52495177</v>
      </c>
      <c r="H634" s="42">
        <f t="shared" si="107"/>
        <v>13549607334.625124</v>
      </c>
      <c r="I634" s="106">
        <f>H634/'System Assumptions'!$F$15</f>
        <v>15.252270619126433</v>
      </c>
      <c r="J634" s="42">
        <f>'System Assumptions'!$E$30+'System Assumptions'!$E$28-'Data Model Calculations'!I634</f>
        <v>64.501329380873571</v>
      </c>
      <c r="K634" s="45">
        <f t="shared" si="103"/>
        <v>53.580127004774788</v>
      </c>
      <c r="L634" s="46">
        <f t="shared" si="104"/>
        <v>725989681854042.13</v>
      </c>
      <c r="M634" s="47">
        <f>D634/1000*('System Assumptions'!$F$20*1000000)</f>
        <v>276691425000.00018</v>
      </c>
      <c r="N634" s="48"/>
      <c r="O634" s="49">
        <f>(F634/1000)*('System Assumptions'!$F$21*1000000)</f>
        <v>6427291623373.3125</v>
      </c>
      <c r="P634" s="49">
        <f t="shared" si="108"/>
        <v>-6711027900892.2764</v>
      </c>
      <c r="Q634" s="48">
        <f t="shared" si="105"/>
        <v>725982637001523.25</v>
      </c>
      <c r="R634" s="53">
        <f t="shared" si="106"/>
        <v>53.579607074392676</v>
      </c>
      <c r="S634" s="52">
        <v>35</v>
      </c>
    </row>
    <row r="635" spans="1:19">
      <c r="A635" s="3">
        <f t="shared" si="101"/>
        <v>53</v>
      </c>
      <c r="B635" s="3">
        <f t="shared" si="109"/>
        <v>633</v>
      </c>
      <c r="C635" s="40">
        <f t="shared" si="102"/>
        <v>13549607334.625124</v>
      </c>
      <c r="D635" s="41">
        <f>'System Assumptions'!$E$11/12</f>
        <v>75242280</v>
      </c>
      <c r="E635" s="41">
        <f>-'System Assumptions'!$E$10/12</f>
        <v>-133627000</v>
      </c>
      <c r="F635" s="41">
        <f>IF(I634&lt;'System Assumptions'!$E$29,'Hydrological Data Model'!$E$33/12,'Hydrological Data Model'!$E$33/12)</f>
        <v>183636903.52495179</v>
      </c>
      <c r="G635" s="42">
        <f>IF(I634&lt;'System Assumptions'!$E$29,0,-(MIN('Hydrological Data Model'!$E$34,'Hydrological Data Model'!$E$33-'System Assumptions'!$E$12))/12)</f>
        <v>-125252183.52495177</v>
      </c>
      <c r="H635" s="42">
        <f t="shared" si="107"/>
        <v>13549607334.625124</v>
      </c>
      <c r="I635" s="106">
        <f>H635/'System Assumptions'!$F$15</f>
        <v>15.252270619126433</v>
      </c>
      <c r="J635" s="42">
        <f>'System Assumptions'!$E$30+'System Assumptions'!$E$28-'Data Model Calculations'!I635</f>
        <v>64.501329380873571</v>
      </c>
      <c r="K635" s="45">
        <f t="shared" si="103"/>
        <v>53.579607074392676</v>
      </c>
      <c r="L635" s="46">
        <f t="shared" si="104"/>
        <v>725982637001523.25</v>
      </c>
      <c r="M635" s="47">
        <f>D635/1000*('System Assumptions'!$F$20*1000000)</f>
        <v>276691425000.00018</v>
      </c>
      <c r="N635" s="48"/>
      <c r="O635" s="49">
        <f>(F635/1000)*('System Assumptions'!$F$21*1000000)</f>
        <v>6427291623373.3125</v>
      </c>
      <c r="P635" s="49">
        <f t="shared" si="108"/>
        <v>-6710962778476.6348</v>
      </c>
      <c r="Q635" s="48">
        <f t="shared" si="105"/>
        <v>725975657271419.88</v>
      </c>
      <c r="R635" s="53">
        <f t="shared" si="106"/>
        <v>53.579091950232183</v>
      </c>
      <c r="S635" s="52">
        <v>35</v>
      </c>
    </row>
    <row r="636" spans="1:19">
      <c r="A636" s="3">
        <f t="shared" si="101"/>
        <v>53</v>
      </c>
      <c r="B636" s="3">
        <f t="shared" si="109"/>
        <v>634</v>
      </c>
      <c r="C636" s="40">
        <f t="shared" si="102"/>
        <v>13549607334.625124</v>
      </c>
      <c r="D636" s="41">
        <f>'System Assumptions'!$E$11/12</f>
        <v>75242280</v>
      </c>
      <c r="E636" s="41">
        <f>-'System Assumptions'!$E$10/12</f>
        <v>-133627000</v>
      </c>
      <c r="F636" s="41">
        <f>IF(I635&lt;'System Assumptions'!$E$29,'Hydrological Data Model'!$E$33/12,'Hydrological Data Model'!$E$33/12)</f>
        <v>183636903.52495179</v>
      </c>
      <c r="G636" s="42">
        <f>IF(I635&lt;'System Assumptions'!$E$29,0,-(MIN('Hydrological Data Model'!$E$34,'Hydrological Data Model'!$E$33-'System Assumptions'!$E$12))/12)</f>
        <v>-125252183.52495177</v>
      </c>
      <c r="H636" s="42">
        <f t="shared" si="107"/>
        <v>13549607334.625124</v>
      </c>
      <c r="I636" s="106">
        <f>H636/'System Assumptions'!$F$15</f>
        <v>15.252270619126433</v>
      </c>
      <c r="J636" s="42">
        <f>'System Assumptions'!$E$30+'System Assumptions'!$E$28-'Data Model Calculations'!I636</f>
        <v>64.501329380873571</v>
      </c>
      <c r="K636" s="45">
        <f t="shared" si="103"/>
        <v>53.579091950232183</v>
      </c>
      <c r="L636" s="46">
        <f t="shared" si="104"/>
        <v>725975657271419.88</v>
      </c>
      <c r="M636" s="47">
        <f>D636/1000*('System Assumptions'!$F$20*1000000)</f>
        <v>276691425000.00018</v>
      </c>
      <c r="N636" s="48"/>
      <c r="O636" s="49">
        <f>(F636/1000)*('System Assumptions'!$F$21*1000000)</f>
        <v>6427291623373.3125</v>
      </c>
      <c r="P636" s="49">
        <f t="shared" si="108"/>
        <v>-6710898258050.7471</v>
      </c>
      <c r="Q636" s="48">
        <f t="shared" si="105"/>
        <v>725968742061742.5</v>
      </c>
      <c r="R636" s="53">
        <f t="shared" si="106"/>
        <v>53.578581587864726</v>
      </c>
      <c r="S636" s="52">
        <v>35</v>
      </c>
    </row>
    <row r="637" spans="1:19">
      <c r="A637" s="3">
        <f t="shared" si="101"/>
        <v>53</v>
      </c>
      <c r="B637" s="3">
        <f t="shared" si="109"/>
        <v>635</v>
      </c>
      <c r="C637" s="40">
        <f t="shared" si="102"/>
        <v>13549607334.625124</v>
      </c>
      <c r="D637" s="41">
        <f>'System Assumptions'!$E$11/12</f>
        <v>75242280</v>
      </c>
      <c r="E637" s="41">
        <f>-'System Assumptions'!$E$10/12</f>
        <v>-133627000</v>
      </c>
      <c r="F637" s="41">
        <f>IF(I636&lt;'System Assumptions'!$E$29,'Hydrological Data Model'!$E$33/12,'Hydrological Data Model'!$E$33/12)</f>
        <v>183636903.52495179</v>
      </c>
      <c r="G637" s="42">
        <f>IF(I636&lt;'System Assumptions'!$E$29,0,-(MIN('Hydrological Data Model'!$E$34,'Hydrological Data Model'!$E$33-'System Assumptions'!$E$12))/12)</f>
        <v>-125252183.52495177</v>
      </c>
      <c r="H637" s="42">
        <f t="shared" si="107"/>
        <v>13549607334.625124</v>
      </c>
      <c r="I637" s="106">
        <f>H637/'System Assumptions'!$F$15</f>
        <v>15.252270619126433</v>
      </c>
      <c r="J637" s="42">
        <f>'System Assumptions'!$E$30+'System Assumptions'!$E$28-'Data Model Calculations'!I637</f>
        <v>64.501329380873571</v>
      </c>
      <c r="K637" s="45">
        <f t="shared" si="103"/>
        <v>53.578581587864726</v>
      </c>
      <c r="L637" s="46">
        <f t="shared" si="104"/>
        <v>725968742061742.5</v>
      </c>
      <c r="M637" s="47">
        <f>D637/1000*('System Assumptions'!$F$20*1000000)</f>
        <v>276691425000.00018</v>
      </c>
      <c r="N637" s="48"/>
      <c r="O637" s="49">
        <f>(F637/1000)*('System Assumptions'!$F$21*1000000)</f>
        <v>6427291623373.3125</v>
      </c>
      <c r="P637" s="49">
        <f t="shared" si="108"/>
        <v>-6710834334049.834</v>
      </c>
      <c r="Q637" s="48">
        <f t="shared" si="105"/>
        <v>725961890776065.88</v>
      </c>
      <c r="R637" s="53">
        <f t="shared" si="106"/>
        <v>53.578075943272424</v>
      </c>
      <c r="S637" s="52">
        <v>35</v>
      </c>
    </row>
    <row r="638" spans="1:19">
      <c r="A638" s="3">
        <f t="shared" si="101"/>
        <v>53</v>
      </c>
      <c r="B638" s="3">
        <f t="shared" si="109"/>
        <v>636</v>
      </c>
      <c r="C638" s="40">
        <f t="shared" si="102"/>
        <v>13549607334.625124</v>
      </c>
      <c r="D638" s="41">
        <f>'System Assumptions'!$E$11/12</f>
        <v>75242280</v>
      </c>
      <c r="E638" s="41">
        <f>-'System Assumptions'!$E$10/12</f>
        <v>-133627000</v>
      </c>
      <c r="F638" s="41">
        <f>IF(I637&lt;'System Assumptions'!$E$29,'Hydrological Data Model'!$E$33/12,'Hydrological Data Model'!$E$33/12)</f>
        <v>183636903.52495179</v>
      </c>
      <c r="G638" s="42">
        <f>IF(I637&lt;'System Assumptions'!$E$29,0,-(MIN('Hydrological Data Model'!$E$34,'Hydrological Data Model'!$E$33-'System Assumptions'!$E$12))/12)</f>
        <v>-125252183.52495177</v>
      </c>
      <c r="H638" s="42">
        <f t="shared" si="107"/>
        <v>13549607334.625124</v>
      </c>
      <c r="I638" s="106">
        <f>H638/'System Assumptions'!$F$15</f>
        <v>15.252270619126433</v>
      </c>
      <c r="J638" s="42">
        <f>'System Assumptions'!$E$30+'System Assumptions'!$E$28-'Data Model Calculations'!I638</f>
        <v>64.501329380873571</v>
      </c>
      <c r="K638" s="45">
        <f t="shared" si="103"/>
        <v>53.578075943272424</v>
      </c>
      <c r="L638" s="46">
        <f t="shared" si="104"/>
        <v>725961890776065.88</v>
      </c>
      <c r="M638" s="47">
        <f>D638/1000*('System Assumptions'!$F$20*1000000)</f>
        <v>276691425000.00018</v>
      </c>
      <c r="N638" s="48"/>
      <c r="O638" s="49">
        <f>(F638/1000)*('System Assumptions'!$F$21*1000000)</f>
        <v>6427291623373.3125</v>
      </c>
      <c r="P638" s="49">
        <f t="shared" si="108"/>
        <v>-6710771000960.5605</v>
      </c>
      <c r="Q638" s="48">
        <f t="shared" si="105"/>
        <v>725955102823478.75</v>
      </c>
      <c r="R638" s="53">
        <f t="shared" si="106"/>
        <v>53.57757497284431</v>
      </c>
      <c r="S638" s="52">
        <v>35</v>
      </c>
    </row>
    <row r="639" spans="1:19">
      <c r="A639" s="3">
        <f t="shared" si="101"/>
        <v>54</v>
      </c>
      <c r="B639" s="3">
        <f t="shared" si="109"/>
        <v>637</v>
      </c>
      <c r="C639" s="40">
        <f t="shared" si="102"/>
        <v>13549607334.625124</v>
      </c>
      <c r="D639" s="41">
        <f>'System Assumptions'!$E$11/12</f>
        <v>75242280</v>
      </c>
      <c r="E639" s="41">
        <f>-'System Assumptions'!$E$10/12</f>
        <v>-133627000</v>
      </c>
      <c r="F639" s="41">
        <f>IF(I638&lt;'System Assumptions'!$E$29,'Hydrological Data Model'!$E$33/12,'Hydrological Data Model'!$E$33/12)</f>
        <v>183636903.52495179</v>
      </c>
      <c r="G639" s="42">
        <f>IF(I638&lt;'System Assumptions'!$E$29,0,-(MIN('Hydrological Data Model'!$E$34,'Hydrological Data Model'!$E$33-'System Assumptions'!$E$12))/12)</f>
        <v>-125252183.52495177</v>
      </c>
      <c r="H639" s="42">
        <f t="shared" si="107"/>
        <v>13549607334.625124</v>
      </c>
      <c r="I639" s="106">
        <f>H639/'System Assumptions'!$F$15</f>
        <v>15.252270619126433</v>
      </c>
      <c r="J639" s="42">
        <f>'System Assumptions'!$E$30+'System Assumptions'!$E$28-'Data Model Calculations'!I639</f>
        <v>64.501329380873571</v>
      </c>
      <c r="K639" s="45">
        <f t="shared" si="103"/>
        <v>53.57757497284431</v>
      </c>
      <c r="L639" s="46">
        <f t="shared" si="104"/>
        <v>725955102823478.75</v>
      </c>
      <c r="M639" s="47">
        <f>D639/1000*('System Assumptions'!$F$20*1000000)</f>
        <v>276691425000.00018</v>
      </c>
      <c r="N639" s="48"/>
      <c r="O639" s="49">
        <f>(F639/1000)*('System Assumptions'!$F$21*1000000)</f>
        <v>6427291623373.3125</v>
      </c>
      <c r="P639" s="49">
        <f t="shared" si="108"/>
        <v>-6710708253320.5576</v>
      </c>
      <c r="Q639" s="48">
        <f t="shared" si="105"/>
        <v>725948377618531.5</v>
      </c>
      <c r="R639" s="53">
        <f t="shared" si="106"/>
        <v>53.57707863337253</v>
      </c>
      <c r="S639" s="52">
        <v>35</v>
      </c>
    </row>
    <row r="640" spans="1:19">
      <c r="A640" s="3">
        <f t="shared" si="101"/>
        <v>54</v>
      </c>
      <c r="B640" s="3">
        <f t="shared" si="109"/>
        <v>638</v>
      </c>
      <c r="C640" s="40">
        <f t="shared" si="102"/>
        <v>13549607334.625124</v>
      </c>
      <c r="D640" s="41">
        <f>'System Assumptions'!$E$11/12</f>
        <v>75242280</v>
      </c>
      <c r="E640" s="41">
        <f>-'System Assumptions'!$E$10/12</f>
        <v>-133627000</v>
      </c>
      <c r="F640" s="41">
        <f>IF(I639&lt;'System Assumptions'!$E$29,'Hydrological Data Model'!$E$33/12,'Hydrological Data Model'!$E$33/12)</f>
        <v>183636903.52495179</v>
      </c>
      <c r="G640" s="42">
        <f>IF(I639&lt;'System Assumptions'!$E$29,0,-(MIN('Hydrological Data Model'!$E$34,'Hydrological Data Model'!$E$33-'System Assumptions'!$E$12))/12)</f>
        <v>-125252183.52495177</v>
      </c>
      <c r="H640" s="42">
        <f t="shared" si="107"/>
        <v>13549607334.625124</v>
      </c>
      <c r="I640" s="106">
        <f>H640/'System Assumptions'!$F$15</f>
        <v>15.252270619126433</v>
      </c>
      <c r="J640" s="42">
        <f>'System Assumptions'!$E$30+'System Assumptions'!$E$28-'Data Model Calculations'!I640</f>
        <v>64.501329380873571</v>
      </c>
      <c r="K640" s="45">
        <f t="shared" si="103"/>
        <v>53.57707863337253</v>
      </c>
      <c r="L640" s="46">
        <f t="shared" si="104"/>
        <v>725948377618531.5</v>
      </c>
      <c r="M640" s="47">
        <f>D640/1000*('System Assumptions'!$F$20*1000000)</f>
        <v>276691425000.00018</v>
      </c>
      <c r="N640" s="48"/>
      <c r="O640" s="49">
        <f>(F640/1000)*('System Assumptions'!$F$21*1000000)</f>
        <v>6427291623373.3125</v>
      </c>
      <c r="P640" s="49">
        <f t="shared" si="108"/>
        <v>-6710646085717.9482</v>
      </c>
      <c r="Q640" s="48">
        <f t="shared" si="105"/>
        <v>725941714581186.75</v>
      </c>
      <c r="R640" s="53">
        <f t="shared" si="106"/>
        <v>53.576586882048659</v>
      </c>
      <c r="S640" s="52">
        <v>35</v>
      </c>
    </row>
    <row r="641" spans="1:19">
      <c r="A641" s="3">
        <f t="shared" si="101"/>
        <v>54</v>
      </c>
      <c r="B641" s="3">
        <f t="shared" si="109"/>
        <v>639</v>
      </c>
      <c r="C641" s="40">
        <f t="shared" si="102"/>
        <v>13549607334.625124</v>
      </c>
      <c r="D641" s="41">
        <f>'System Assumptions'!$E$11/12</f>
        <v>75242280</v>
      </c>
      <c r="E641" s="41">
        <f>-'System Assumptions'!$E$10/12</f>
        <v>-133627000</v>
      </c>
      <c r="F641" s="41">
        <f>IF(I640&lt;'System Assumptions'!$E$29,'Hydrological Data Model'!$E$33/12,'Hydrological Data Model'!$E$33/12)</f>
        <v>183636903.52495179</v>
      </c>
      <c r="G641" s="42">
        <f>IF(I640&lt;'System Assumptions'!$E$29,0,-(MIN('Hydrological Data Model'!$E$34,'Hydrological Data Model'!$E$33-'System Assumptions'!$E$12))/12)</f>
        <v>-125252183.52495177</v>
      </c>
      <c r="H641" s="42">
        <f t="shared" si="107"/>
        <v>13549607334.625124</v>
      </c>
      <c r="I641" s="106">
        <f>H641/'System Assumptions'!$F$15</f>
        <v>15.252270619126433</v>
      </c>
      <c r="J641" s="42">
        <f>'System Assumptions'!$E$30+'System Assumptions'!$E$28-'Data Model Calculations'!I641</f>
        <v>64.501329380873571</v>
      </c>
      <c r="K641" s="45">
        <f t="shared" si="103"/>
        <v>53.576586882048659</v>
      </c>
      <c r="L641" s="46">
        <f t="shared" si="104"/>
        <v>725941714581186.75</v>
      </c>
      <c r="M641" s="47">
        <f>D641/1000*('System Assumptions'!$F$20*1000000)</f>
        <v>276691425000.00018</v>
      </c>
      <c r="N641" s="48"/>
      <c r="O641" s="49">
        <f>(F641/1000)*('System Assumptions'!$F$21*1000000)</f>
        <v>6427291623373.3125</v>
      </c>
      <c r="P641" s="49">
        <f t="shared" si="108"/>
        <v>-6710584492790.8818</v>
      </c>
      <c r="Q641" s="48">
        <f t="shared" si="105"/>
        <v>725935113136769.13</v>
      </c>
      <c r="R641" s="53">
        <f t="shared" si="106"/>
        <v>53.576099676460004</v>
      </c>
      <c r="S641" s="52">
        <v>35</v>
      </c>
    </row>
    <row r="642" spans="1:19">
      <c r="A642" s="3">
        <f t="shared" ref="A642:A663" si="110">IF(MOD(B642,12)=1,A641+1,A641)</f>
        <v>54</v>
      </c>
      <c r="B642" s="3">
        <f t="shared" si="109"/>
        <v>640</v>
      </c>
      <c r="C642" s="40">
        <f t="shared" ref="C642:C663" si="111">H641</f>
        <v>13549607334.625124</v>
      </c>
      <c r="D642" s="41">
        <f>'System Assumptions'!$E$11/12</f>
        <v>75242280</v>
      </c>
      <c r="E642" s="41">
        <f>-'System Assumptions'!$E$10/12</f>
        <v>-133627000</v>
      </c>
      <c r="F642" s="41">
        <f>IF(I641&lt;'System Assumptions'!$E$29,'Hydrological Data Model'!$E$33/12,'Hydrological Data Model'!$E$33/12)</f>
        <v>183636903.52495179</v>
      </c>
      <c r="G642" s="42">
        <f>IF(I641&lt;'System Assumptions'!$E$29,0,-(MIN('Hydrological Data Model'!$E$34,'Hydrological Data Model'!$E$33-'System Assumptions'!$E$12))/12)</f>
        <v>-125252183.52495177</v>
      </c>
      <c r="H642" s="42">
        <f t="shared" si="107"/>
        <v>13549607334.625124</v>
      </c>
      <c r="I642" s="106">
        <f>H642/'System Assumptions'!$F$15</f>
        <v>15.252270619126433</v>
      </c>
      <c r="J642" s="42">
        <f>'System Assumptions'!$E$30+'System Assumptions'!$E$28-'Data Model Calculations'!I642</f>
        <v>64.501329380873571</v>
      </c>
      <c r="K642" s="45">
        <f t="shared" ref="K642:K663" si="112">R641</f>
        <v>53.576099676460004</v>
      </c>
      <c r="L642" s="46">
        <f t="shared" ref="L642:L663" si="113">Q641</f>
        <v>725935113136769.13</v>
      </c>
      <c r="M642" s="47">
        <f>D642/1000*('System Assumptions'!$F$20*1000000)</f>
        <v>276691425000.00018</v>
      </c>
      <c r="N642" s="48"/>
      <c r="O642" s="49">
        <f>(F642/1000)*('System Assumptions'!$F$21*1000000)</f>
        <v>6427291623373.3125</v>
      </c>
      <c r="P642" s="49">
        <f t="shared" si="108"/>
        <v>-6710523469227.0771</v>
      </c>
      <c r="Q642" s="48">
        <f t="shared" ref="Q642:Q663" si="114">SUM(L642:P642)</f>
        <v>725928572715915.38</v>
      </c>
      <c r="R642" s="53">
        <f t="shared" ref="R642:R663" si="115">(Q642*1000)/(H642*1000000)</f>
        <v>53.575616974585898</v>
      </c>
      <c r="S642" s="52">
        <v>35</v>
      </c>
    </row>
    <row r="643" spans="1:19">
      <c r="A643" s="3">
        <f t="shared" si="110"/>
        <v>54</v>
      </c>
      <c r="B643" s="3">
        <f t="shared" si="109"/>
        <v>641</v>
      </c>
      <c r="C643" s="40">
        <f t="shared" si="111"/>
        <v>13549607334.625124</v>
      </c>
      <c r="D643" s="41">
        <f>'System Assumptions'!$E$11/12</f>
        <v>75242280</v>
      </c>
      <c r="E643" s="41">
        <f>-'System Assumptions'!$E$10/12</f>
        <v>-133627000</v>
      </c>
      <c r="F643" s="41">
        <f>IF(I642&lt;'System Assumptions'!$E$29,'Hydrological Data Model'!$E$33/12,'Hydrological Data Model'!$E$33/12)</f>
        <v>183636903.52495179</v>
      </c>
      <c r="G643" s="42">
        <f>IF(I642&lt;'System Assumptions'!$E$29,0,-(MIN('Hydrological Data Model'!$E$34,'Hydrological Data Model'!$E$33-'System Assumptions'!$E$12))/12)</f>
        <v>-125252183.52495177</v>
      </c>
      <c r="H643" s="42">
        <f t="shared" ref="H643:H663" si="116">SUM(C643:G643)</f>
        <v>13549607334.625124</v>
      </c>
      <c r="I643" s="106">
        <f>H643/'System Assumptions'!$F$15</f>
        <v>15.252270619126433</v>
      </c>
      <c r="J643" s="42">
        <f>'System Assumptions'!$E$30+'System Assumptions'!$E$28-'Data Model Calculations'!I643</f>
        <v>64.501329380873571</v>
      </c>
      <c r="K643" s="45">
        <f t="shared" si="112"/>
        <v>53.575616974585898</v>
      </c>
      <c r="L643" s="46">
        <f t="shared" si="113"/>
        <v>725928572715915.38</v>
      </c>
      <c r="M643" s="47">
        <f>D643/1000*('System Assumptions'!$F$20*1000000)</f>
        <v>276691425000.00018</v>
      </c>
      <c r="N643" s="48"/>
      <c r="O643" s="49">
        <f>(F643/1000)*('System Assumptions'!$F$21*1000000)</f>
        <v>6427291623373.3125</v>
      </c>
      <c r="P643" s="49">
        <f t="shared" ref="P643:P663" si="117">(G643*1000000)*K643/1000</f>
        <v>-6710463009763.3535</v>
      </c>
      <c r="Q643" s="48">
        <f t="shared" si="114"/>
        <v>725922092754525.38</v>
      </c>
      <c r="R643" s="53">
        <f t="shared" si="115"/>
        <v>53.575138734794145</v>
      </c>
      <c r="S643" s="52">
        <v>35</v>
      </c>
    </row>
    <row r="644" spans="1:19">
      <c r="A644" s="3">
        <f t="shared" si="110"/>
        <v>54</v>
      </c>
      <c r="B644" s="3">
        <f t="shared" si="109"/>
        <v>642</v>
      </c>
      <c r="C644" s="40">
        <f t="shared" si="111"/>
        <v>13549607334.625124</v>
      </c>
      <c r="D644" s="41">
        <f>'System Assumptions'!$E$11/12</f>
        <v>75242280</v>
      </c>
      <c r="E644" s="41">
        <f>-'System Assumptions'!$E$10/12</f>
        <v>-133627000</v>
      </c>
      <c r="F644" s="41">
        <f>IF(I643&lt;'System Assumptions'!$E$29,'Hydrological Data Model'!$E$33/12,'Hydrological Data Model'!$E$33/12)</f>
        <v>183636903.52495179</v>
      </c>
      <c r="G644" s="42">
        <f>IF(I643&lt;'System Assumptions'!$E$29,0,-(MIN('Hydrological Data Model'!$E$34,'Hydrological Data Model'!$E$33-'System Assumptions'!$E$12))/12)</f>
        <v>-125252183.52495177</v>
      </c>
      <c r="H644" s="42">
        <f t="shared" si="116"/>
        <v>13549607334.625124</v>
      </c>
      <c r="I644" s="106">
        <f>H644/'System Assumptions'!$F$15</f>
        <v>15.252270619126433</v>
      </c>
      <c r="J644" s="42">
        <f>'System Assumptions'!$E$30+'System Assumptions'!$E$28-'Data Model Calculations'!I644</f>
        <v>64.501329380873571</v>
      </c>
      <c r="K644" s="45">
        <f t="shared" si="112"/>
        <v>53.575138734794145</v>
      </c>
      <c r="L644" s="46">
        <f t="shared" si="113"/>
        <v>725922092754525.38</v>
      </c>
      <c r="M644" s="47">
        <f>D644/1000*('System Assumptions'!$F$20*1000000)</f>
        <v>276691425000.00018</v>
      </c>
      <c r="N644" s="48"/>
      <c r="O644" s="49">
        <f>(F644/1000)*('System Assumptions'!$F$21*1000000)</f>
        <v>6427291623373.3125</v>
      </c>
      <c r="P644" s="49">
        <f t="shared" si="117"/>
        <v>-6710403109185.1885</v>
      </c>
      <c r="Q644" s="48">
        <f t="shared" si="114"/>
        <v>725915672693713.5</v>
      </c>
      <c r="R644" s="53">
        <f t="shared" si="115"/>
        <v>53.574664915837388</v>
      </c>
      <c r="S644" s="52">
        <v>35</v>
      </c>
    </row>
    <row r="645" spans="1:19">
      <c r="A645" s="3">
        <f t="shared" si="110"/>
        <v>54</v>
      </c>
      <c r="B645" s="3">
        <f t="shared" si="109"/>
        <v>643</v>
      </c>
      <c r="C645" s="40">
        <f t="shared" si="111"/>
        <v>13549607334.625124</v>
      </c>
      <c r="D645" s="41">
        <f>'System Assumptions'!$E$11/12</f>
        <v>75242280</v>
      </c>
      <c r="E645" s="41">
        <f>-'System Assumptions'!$E$10/12</f>
        <v>-133627000</v>
      </c>
      <c r="F645" s="41">
        <f>IF(I644&lt;'System Assumptions'!$E$29,'Hydrological Data Model'!$E$33/12,'Hydrological Data Model'!$E$33/12)</f>
        <v>183636903.52495179</v>
      </c>
      <c r="G645" s="42">
        <f>IF(I644&lt;'System Assumptions'!$E$29,0,-(MIN('Hydrological Data Model'!$E$34,'Hydrological Data Model'!$E$33-'System Assumptions'!$E$12))/12)</f>
        <v>-125252183.52495177</v>
      </c>
      <c r="H645" s="42">
        <f t="shared" si="116"/>
        <v>13549607334.625124</v>
      </c>
      <c r="I645" s="106">
        <f>H645/'System Assumptions'!$F$15</f>
        <v>15.252270619126433</v>
      </c>
      <c r="J645" s="42">
        <f>'System Assumptions'!$E$30+'System Assumptions'!$E$28-'Data Model Calculations'!I645</f>
        <v>64.501329380873571</v>
      </c>
      <c r="K645" s="45">
        <f t="shared" si="112"/>
        <v>53.574664915837388</v>
      </c>
      <c r="L645" s="46">
        <f t="shared" si="113"/>
        <v>725915672693713.5</v>
      </c>
      <c r="M645" s="47">
        <f>D645/1000*('System Assumptions'!$F$20*1000000)</f>
        <v>276691425000.00018</v>
      </c>
      <c r="N645" s="48"/>
      <c r="O645" s="49">
        <f>(F645/1000)*('System Assumptions'!$F$21*1000000)</f>
        <v>6427291623373.3125</v>
      </c>
      <c r="P645" s="49">
        <f t="shared" si="117"/>
        <v>-6710343762326.2588</v>
      </c>
      <c r="Q645" s="48">
        <f t="shared" si="114"/>
        <v>725909311979760.5</v>
      </c>
      <c r="R645" s="53">
        <f t="shared" si="115"/>
        <v>53.574195476849532</v>
      </c>
      <c r="S645" s="52">
        <v>35</v>
      </c>
    </row>
    <row r="646" spans="1:19">
      <c r="A646" s="3">
        <f t="shared" si="110"/>
        <v>54</v>
      </c>
      <c r="B646" s="3">
        <f t="shared" si="109"/>
        <v>644</v>
      </c>
      <c r="C646" s="40">
        <f t="shared" si="111"/>
        <v>13549607334.625124</v>
      </c>
      <c r="D646" s="41">
        <f>'System Assumptions'!$E$11/12</f>
        <v>75242280</v>
      </c>
      <c r="E646" s="41">
        <f>-'System Assumptions'!$E$10/12</f>
        <v>-133627000</v>
      </c>
      <c r="F646" s="41">
        <f>IF(I645&lt;'System Assumptions'!$E$29,'Hydrological Data Model'!$E$33/12,'Hydrological Data Model'!$E$33/12)</f>
        <v>183636903.52495179</v>
      </c>
      <c r="G646" s="42">
        <f>IF(I645&lt;'System Assumptions'!$E$29,0,-(MIN('Hydrological Data Model'!$E$34,'Hydrological Data Model'!$E$33-'System Assumptions'!$E$12))/12)</f>
        <v>-125252183.52495177</v>
      </c>
      <c r="H646" s="42">
        <f t="shared" si="116"/>
        <v>13549607334.625124</v>
      </c>
      <c r="I646" s="106">
        <f>H646/'System Assumptions'!$F$15</f>
        <v>15.252270619126433</v>
      </c>
      <c r="J646" s="42">
        <f>'System Assumptions'!$E$30+'System Assumptions'!$E$28-'Data Model Calculations'!I646</f>
        <v>64.501329380873571</v>
      </c>
      <c r="K646" s="45">
        <f t="shared" si="112"/>
        <v>53.574195476849532</v>
      </c>
      <c r="L646" s="46">
        <f t="shared" si="113"/>
        <v>725909311979760.5</v>
      </c>
      <c r="M646" s="47">
        <f>D646/1000*('System Assumptions'!$F$20*1000000)</f>
        <v>276691425000.00018</v>
      </c>
      <c r="N646" s="48"/>
      <c r="O646" s="49">
        <f>(F646/1000)*('System Assumptions'!$F$21*1000000)</f>
        <v>6427291623373.3125</v>
      </c>
      <c r="P646" s="49">
        <f t="shared" si="117"/>
        <v>-6710284964067.998</v>
      </c>
      <c r="Q646" s="48">
        <f t="shared" si="114"/>
        <v>725903010064065.75</v>
      </c>
      <c r="R646" s="53">
        <f t="shared" si="115"/>
        <v>53.573730377342279</v>
      </c>
      <c r="S646" s="52">
        <v>35</v>
      </c>
    </row>
    <row r="647" spans="1:19">
      <c r="A647" s="3">
        <f t="shared" si="110"/>
        <v>54</v>
      </c>
      <c r="B647" s="3">
        <f t="shared" si="109"/>
        <v>645</v>
      </c>
      <c r="C647" s="40">
        <f t="shared" si="111"/>
        <v>13549607334.625124</v>
      </c>
      <c r="D647" s="41">
        <f>'System Assumptions'!$E$11/12</f>
        <v>75242280</v>
      </c>
      <c r="E647" s="41">
        <f>-'System Assumptions'!$E$10/12</f>
        <v>-133627000</v>
      </c>
      <c r="F647" s="41">
        <f>IF(I646&lt;'System Assumptions'!$E$29,'Hydrological Data Model'!$E$33/12,'Hydrological Data Model'!$E$33/12)</f>
        <v>183636903.52495179</v>
      </c>
      <c r="G647" s="42">
        <f>IF(I646&lt;'System Assumptions'!$E$29,0,-(MIN('Hydrological Data Model'!$E$34,'Hydrological Data Model'!$E$33-'System Assumptions'!$E$12))/12)</f>
        <v>-125252183.52495177</v>
      </c>
      <c r="H647" s="42">
        <f t="shared" si="116"/>
        <v>13549607334.625124</v>
      </c>
      <c r="I647" s="106">
        <f>H647/'System Assumptions'!$F$15</f>
        <v>15.252270619126433</v>
      </c>
      <c r="J647" s="42">
        <f>'System Assumptions'!$E$30+'System Assumptions'!$E$28-'Data Model Calculations'!I647</f>
        <v>64.501329380873571</v>
      </c>
      <c r="K647" s="45">
        <f t="shared" si="112"/>
        <v>53.573730377342279</v>
      </c>
      <c r="L647" s="46">
        <f t="shared" si="113"/>
        <v>725903010064065.75</v>
      </c>
      <c r="M647" s="47">
        <f>D647/1000*('System Assumptions'!$F$20*1000000)</f>
        <v>276691425000.00018</v>
      </c>
      <c r="N647" s="48"/>
      <c r="O647" s="49">
        <f>(F647/1000)*('System Assumptions'!$F$21*1000000)</f>
        <v>6427291623373.3125</v>
      </c>
      <c r="P647" s="49">
        <f t="shared" si="117"/>
        <v>-6710226709339.1592</v>
      </c>
      <c r="Q647" s="48">
        <f t="shared" si="114"/>
        <v>725896766403099.88</v>
      </c>
      <c r="R647" s="53">
        <f t="shared" si="115"/>
        <v>53.573269577201607</v>
      </c>
      <c r="S647" s="52">
        <v>35</v>
      </c>
    </row>
    <row r="648" spans="1:19">
      <c r="A648" s="3">
        <f t="shared" si="110"/>
        <v>54</v>
      </c>
      <c r="B648" s="3">
        <f t="shared" si="109"/>
        <v>646</v>
      </c>
      <c r="C648" s="40">
        <f t="shared" si="111"/>
        <v>13549607334.625124</v>
      </c>
      <c r="D648" s="41">
        <f>'System Assumptions'!$E$11/12</f>
        <v>75242280</v>
      </c>
      <c r="E648" s="41">
        <f>-'System Assumptions'!$E$10/12</f>
        <v>-133627000</v>
      </c>
      <c r="F648" s="41">
        <f>IF(I647&lt;'System Assumptions'!$E$29,'Hydrological Data Model'!$E$33/12,'Hydrological Data Model'!$E$33/12)</f>
        <v>183636903.52495179</v>
      </c>
      <c r="G648" s="42">
        <f>IF(I647&lt;'System Assumptions'!$E$29,0,-(MIN('Hydrological Data Model'!$E$34,'Hydrological Data Model'!$E$33-'System Assumptions'!$E$12))/12)</f>
        <v>-125252183.52495177</v>
      </c>
      <c r="H648" s="42">
        <f t="shared" si="116"/>
        <v>13549607334.625124</v>
      </c>
      <c r="I648" s="106">
        <f>H648/'System Assumptions'!$F$15</f>
        <v>15.252270619126433</v>
      </c>
      <c r="J648" s="42">
        <f>'System Assumptions'!$E$30+'System Assumptions'!$E$28-'Data Model Calculations'!I648</f>
        <v>64.501329380873571</v>
      </c>
      <c r="K648" s="45">
        <f t="shared" si="112"/>
        <v>53.573269577201607</v>
      </c>
      <c r="L648" s="46">
        <f t="shared" si="113"/>
        <v>725896766403099.88</v>
      </c>
      <c r="M648" s="47">
        <f>D648/1000*('System Assumptions'!$F$20*1000000)</f>
        <v>276691425000.00018</v>
      </c>
      <c r="N648" s="48"/>
      <c r="O648" s="49">
        <f>(F648/1000)*('System Assumptions'!$F$21*1000000)</f>
        <v>6427291623373.3125</v>
      </c>
      <c r="P648" s="49">
        <f t="shared" si="117"/>
        <v>-6710168993115.3711</v>
      </c>
      <c r="Q648" s="48">
        <f t="shared" si="114"/>
        <v>725890580458357.88</v>
      </c>
      <c r="R648" s="53">
        <f t="shared" si="115"/>
        <v>53.572813036684288</v>
      </c>
      <c r="S648" s="52">
        <v>35</v>
      </c>
    </row>
    <row r="649" spans="1:19">
      <c r="A649" s="3">
        <f t="shared" si="110"/>
        <v>54</v>
      </c>
      <c r="B649" s="3">
        <f t="shared" si="109"/>
        <v>647</v>
      </c>
      <c r="C649" s="40">
        <f t="shared" si="111"/>
        <v>13549607334.625124</v>
      </c>
      <c r="D649" s="41">
        <f>'System Assumptions'!$E$11/12</f>
        <v>75242280</v>
      </c>
      <c r="E649" s="41">
        <f>-'System Assumptions'!$E$10/12</f>
        <v>-133627000</v>
      </c>
      <c r="F649" s="41">
        <f>IF(I648&lt;'System Assumptions'!$E$29,'Hydrological Data Model'!$E$33/12,'Hydrological Data Model'!$E$33/12)</f>
        <v>183636903.52495179</v>
      </c>
      <c r="G649" s="42">
        <f>IF(I648&lt;'System Assumptions'!$E$29,0,-(MIN('Hydrological Data Model'!$E$34,'Hydrological Data Model'!$E$33-'System Assumptions'!$E$12))/12)</f>
        <v>-125252183.52495177</v>
      </c>
      <c r="H649" s="42">
        <f t="shared" si="116"/>
        <v>13549607334.625124</v>
      </c>
      <c r="I649" s="106">
        <f>H649/'System Assumptions'!$F$15</f>
        <v>15.252270619126433</v>
      </c>
      <c r="J649" s="42">
        <f>'System Assumptions'!$E$30+'System Assumptions'!$E$28-'Data Model Calculations'!I649</f>
        <v>64.501329380873571</v>
      </c>
      <c r="K649" s="45">
        <f t="shared" si="112"/>
        <v>53.572813036684288</v>
      </c>
      <c r="L649" s="46">
        <f t="shared" si="113"/>
        <v>725890580458357.88</v>
      </c>
      <c r="M649" s="47">
        <f>D649/1000*('System Assumptions'!$F$20*1000000)</f>
        <v>276691425000.00018</v>
      </c>
      <c r="N649" s="48"/>
      <c r="O649" s="49">
        <f>(F649/1000)*('System Assumptions'!$F$21*1000000)</f>
        <v>6427291623373.3125</v>
      </c>
      <c r="P649" s="49">
        <f t="shared" si="117"/>
        <v>-6710111810418.709</v>
      </c>
      <c r="Q649" s="48">
        <f t="shared" si="114"/>
        <v>725884451696312.5</v>
      </c>
      <c r="R649" s="53">
        <f t="shared" si="115"/>
        <v>53.572360716414479</v>
      </c>
      <c r="S649" s="52">
        <v>35</v>
      </c>
    </row>
    <row r="650" spans="1:19">
      <c r="A650" s="3">
        <f t="shared" si="110"/>
        <v>54</v>
      </c>
      <c r="B650" s="3">
        <f t="shared" si="109"/>
        <v>648</v>
      </c>
      <c r="C650" s="40">
        <f t="shared" si="111"/>
        <v>13549607334.625124</v>
      </c>
      <c r="D650" s="41">
        <f>'System Assumptions'!$E$11/12</f>
        <v>75242280</v>
      </c>
      <c r="E650" s="41">
        <f>-'System Assumptions'!$E$10/12</f>
        <v>-133627000</v>
      </c>
      <c r="F650" s="41">
        <f>IF(I649&lt;'System Assumptions'!$E$29,'Hydrological Data Model'!$E$33/12,'Hydrological Data Model'!$E$33/12)</f>
        <v>183636903.52495179</v>
      </c>
      <c r="G650" s="42">
        <f>IF(I649&lt;'System Assumptions'!$E$29,0,-(MIN('Hydrological Data Model'!$E$34,'Hydrological Data Model'!$E$33-'System Assumptions'!$E$12))/12)</f>
        <v>-125252183.52495177</v>
      </c>
      <c r="H650" s="42">
        <f t="shared" si="116"/>
        <v>13549607334.625124</v>
      </c>
      <c r="I650" s="106">
        <f>H650/'System Assumptions'!$F$15</f>
        <v>15.252270619126433</v>
      </c>
      <c r="J650" s="42">
        <f>'System Assumptions'!$E$30+'System Assumptions'!$E$28-'Data Model Calculations'!I650</f>
        <v>64.501329380873571</v>
      </c>
      <c r="K650" s="45">
        <f t="shared" si="112"/>
        <v>53.572360716414479</v>
      </c>
      <c r="L650" s="46">
        <f t="shared" si="113"/>
        <v>725884451696312.5</v>
      </c>
      <c r="M650" s="47">
        <f>D650/1000*('System Assumptions'!$F$20*1000000)</f>
        <v>276691425000.00018</v>
      </c>
      <c r="N650" s="48"/>
      <c r="O650" s="49">
        <f>(F650/1000)*('System Assumptions'!$F$21*1000000)</f>
        <v>6427291623373.3125</v>
      </c>
      <c r="P650" s="49">
        <f t="shared" si="117"/>
        <v>-6710055156317.2627</v>
      </c>
      <c r="Q650" s="48">
        <f t="shared" si="114"/>
        <v>725878379588368.5</v>
      </c>
      <c r="R650" s="53">
        <f t="shared" si="115"/>
        <v>53.571912577380331</v>
      </c>
      <c r="S650" s="52">
        <v>35</v>
      </c>
    </row>
    <row r="651" spans="1:19">
      <c r="A651" s="3">
        <f t="shared" si="110"/>
        <v>55</v>
      </c>
      <c r="B651" s="3">
        <f t="shared" si="109"/>
        <v>649</v>
      </c>
      <c r="C651" s="40">
        <f t="shared" si="111"/>
        <v>13549607334.625124</v>
      </c>
      <c r="D651" s="41">
        <f>'System Assumptions'!$E$11/12</f>
        <v>75242280</v>
      </c>
      <c r="E651" s="41">
        <f>-'System Assumptions'!$E$10/12</f>
        <v>-133627000</v>
      </c>
      <c r="F651" s="41">
        <f>IF(I650&lt;'System Assumptions'!$E$29,'Hydrological Data Model'!$E$33/12,'Hydrological Data Model'!$E$33/12)</f>
        <v>183636903.52495179</v>
      </c>
      <c r="G651" s="42">
        <f>IF(I650&lt;'System Assumptions'!$E$29,0,-(MIN('Hydrological Data Model'!$E$34,'Hydrological Data Model'!$E$33-'System Assumptions'!$E$12))/12)</f>
        <v>-125252183.52495177</v>
      </c>
      <c r="H651" s="42">
        <f t="shared" si="116"/>
        <v>13549607334.625124</v>
      </c>
      <c r="I651" s="106">
        <f>H651/'System Assumptions'!$F$15</f>
        <v>15.252270619126433</v>
      </c>
      <c r="J651" s="42">
        <f>'System Assumptions'!$E$30+'System Assumptions'!$E$28-'Data Model Calculations'!I651</f>
        <v>64.501329380873571</v>
      </c>
      <c r="K651" s="45">
        <f t="shared" si="112"/>
        <v>53.571912577380331</v>
      </c>
      <c r="L651" s="46">
        <f t="shared" si="113"/>
        <v>725878379588368.5</v>
      </c>
      <c r="M651" s="47">
        <f>D651/1000*('System Assumptions'!$F$20*1000000)</f>
        <v>276691425000.00018</v>
      </c>
      <c r="N651" s="48"/>
      <c r="O651" s="49">
        <f>(F651/1000)*('System Assumptions'!$F$21*1000000)</f>
        <v>6427291623373.3125</v>
      </c>
      <c r="P651" s="49">
        <f t="shared" si="117"/>
        <v>-6709999025924.7129</v>
      </c>
      <c r="Q651" s="48">
        <f t="shared" si="114"/>
        <v>725872363610817</v>
      </c>
      <c r="R651" s="53">
        <f t="shared" si="115"/>
        <v>53.571468580930627</v>
      </c>
      <c r="S651" s="52">
        <v>35</v>
      </c>
    </row>
    <row r="652" spans="1:19">
      <c r="A652" s="3">
        <f t="shared" si="110"/>
        <v>55</v>
      </c>
      <c r="B652" s="3">
        <f t="shared" si="109"/>
        <v>650</v>
      </c>
      <c r="C652" s="40">
        <f t="shared" si="111"/>
        <v>13549607334.625124</v>
      </c>
      <c r="D652" s="41">
        <f>'System Assumptions'!$E$11/12</f>
        <v>75242280</v>
      </c>
      <c r="E652" s="41">
        <f>-'System Assumptions'!$E$10/12</f>
        <v>-133627000</v>
      </c>
      <c r="F652" s="41">
        <f>IF(I651&lt;'System Assumptions'!$E$29,'Hydrological Data Model'!$E$33/12,'Hydrological Data Model'!$E$33/12)</f>
        <v>183636903.52495179</v>
      </c>
      <c r="G652" s="42">
        <f>IF(I651&lt;'System Assumptions'!$E$29,0,-(MIN('Hydrological Data Model'!$E$34,'Hydrological Data Model'!$E$33-'System Assumptions'!$E$12))/12)</f>
        <v>-125252183.52495177</v>
      </c>
      <c r="H652" s="42">
        <f t="shared" si="116"/>
        <v>13549607334.625124</v>
      </c>
      <c r="I652" s="106">
        <f>H652/'System Assumptions'!$F$15</f>
        <v>15.252270619126433</v>
      </c>
      <c r="J652" s="42">
        <f>'System Assumptions'!$E$30+'System Assumptions'!$E$28-'Data Model Calculations'!I652</f>
        <v>64.501329380873571</v>
      </c>
      <c r="K652" s="45">
        <f t="shared" si="112"/>
        <v>53.571468580930627</v>
      </c>
      <c r="L652" s="46">
        <f t="shared" si="113"/>
        <v>725872363610817</v>
      </c>
      <c r="M652" s="47">
        <f>D652/1000*('System Assumptions'!$F$20*1000000)</f>
        <v>276691425000.00018</v>
      </c>
      <c r="N652" s="48"/>
      <c r="O652" s="49">
        <f>(F652/1000)*('System Assumptions'!$F$21*1000000)</f>
        <v>6427291623373.3125</v>
      </c>
      <c r="P652" s="49">
        <f t="shared" si="117"/>
        <v>-6709943414399.9102</v>
      </c>
      <c r="Q652" s="48">
        <f t="shared" si="114"/>
        <v>725866403244790.38</v>
      </c>
      <c r="R652" s="53">
        <f t="shared" si="115"/>
        <v>53.571028688771435</v>
      </c>
      <c r="S652" s="52">
        <v>35</v>
      </c>
    </row>
    <row r="653" spans="1:19">
      <c r="A653" s="3">
        <f t="shared" si="110"/>
        <v>55</v>
      </c>
      <c r="B653" s="3">
        <f t="shared" si="109"/>
        <v>651</v>
      </c>
      <c r="C653" s="40">
        <f t="shared" si="111"/>
        <v>13549607334.625124</v>
      </c>
      <c r="D653" s="41">
        <f>'System Assumptions'!$E$11/12</f>
        <v>75242280</v>
      </c>
      <c r="E653" s="41">
        <f>-'System Assumptions'!$E$10/12</f>
        <v>-133627000</v>
      </c>
      <c r="F653" s="41">
        <f>IF(I652&lt;'System Assumptions'!$E$29,'Hydrological Data Model'!$E$33/12,'Hydrological Data Model'!$E$33/12)</f>
        <v>183636903.52495179</v>
      </c>
      <c r="G653" s="42">
        <f>IF(I652&lt;'System Assumptions'!$E$29,0,-(MIN('Hydrological Data Model'!$E$34,'Hydrological Data Model'!$E$33-'System Assumptions'!$E$12))/12)</f>
        <v>-125252183.52495177</v>
      </c>
      <c r="H653" s="42">
        <f t="shared" si="116"/>
        <v>13549607334.625124</v>
      </c>
      <c r="I653" s="106">
        <f>H653/'System Assumptions'!$F$15</f>
        <v>15.252270619126433</v>
      </c>
      <c r="J653" s="42">
        <f>'System Assumptions'!$E$30+'System Assumptions'!$E$28-'Data Model Calculations'!I653</f>
        <v>64.501329380873571</v>
      </c>
      <c r="K653" s="45">
        <f t="shared" si="112"/>
        <v>53.571028688771435</v>
      </c>
      <c r="L653" s="46">
        <f t="shared" si="113"/>
        <v>725866403244790.38</v>
      </c>
      <c r="M653" s="47">
        <f>D653/1000*('System Assumptions'!$F$20*1000000)</f>
        <v>276691425000.00018</v>
      </c>
      <c r="N653" s="48"/>
      <c r="O653" s="49">
        <f>(F653/1000)*('System Assumptions'!$F$21*1000000)</f>
        <v>6427291623373.3125</v>
      </c>
      <c r="P653" s="49">
        <f t="shared" si="117"/>
        <v>-6709888316946.4561</v>
      </c>
      <c r="Q653" s="48">
        <f t="shared" si="114"/>
        <v>725860497976217.25</v>
      </c>
      <c r="R653" s="53">
        <f t="shared" si="115"/>
        <v>53.570592862962812</v>
      </c>
      <c r="S653" s="52">
        <v>35</v>
      </c>
    </row>
    <row r="654" spans="1:19">
      <c r="A654" s="3">
        <f t="shared" si="110"/>
        <v>55</v>
      </c>
      <c r="B654" s="3">
        <f t="shared" si="109"/>
        <v>652</v>
      </c>
      <c r="C654" s="40">
        <f t="shared" si="111"/>
        <v>13549607334.625124</v>
      </c>
      <c r="D654" s="41">
        <f>'System Assumptions'!$E$11/12</f>
        <v>75242280</v>
      </c>
      <c r="E654" s="41">
        <f>-'System Assumptions'!$E$10/12</f>
        <v>-133627000</v>
      </c>
      <c r="F654" s="41">
        <f>IF(I653&lt;'System Assumptions'!$E$29,'Hydrological Data Model'!$E$33/12,'Hydrological Data Model'!$E$33/12)</f>
        <v>183636903.52495179</v>
      </c>
      <c r="G654" s="42">
        <f>IF(I653&lt;'System Assumptions'!$E$29,0,-(MIN('Hydrological Data Model'!$E$34,'Hydrological Data Model'!$E$33-'System Assumptions'!$E$12))/12)</f>
        <v>-125252183.52495177</v>
      </c>
      <c r="H654" s="42">
        <f t="shared" si="116"/>
        <v>13549607334.625124</v>
      </c>
      <c r="I654" s="106">
        <f>H654/'System Assumptions'!$F$15</f>
        <v>15.252270619126433</v>
      </c>
      <c r="J654" s="42">
        <f>'System Assumptions'!$E$30+'System Assumptions'!$E$28-'Data Model Calculations'!I654</f>
        <v>64.501329380873571</v>
      </c>
      <c r="K654" s="45">
        <f t="shared" si="112"/>
        <v>53.570592862962812</v>
      </c>
      <c r="L654" s="46">
        <f t="shared" si="113"/>
        <v>725860497976217.25</v>
      </c>
      <c r="M654" s="47">
        <f>D654/1000*('System Assumptions'!$F$20*1000000)</f>
        <v>276691425000.00018</v>
      </c>
      <c r="N654" s="48"/>
      <c r="O654" s="49">
        <f>(F654/1000)*('System Assumptions'!$F$21*1000000)</f>
        <v>6427291623373.3125</v>
      </c>
      <c r="P654" s="49">
        <f t="shared" si="117"/>
        <v>-6709833728812.2891</v>
      </c>
      <c r="Q654" s="48">
        <f t="shared" si="114"/>
        <v>725854647295778.25</v>
      </c>
      <c r="R654" s="53">
        <f t="shared" si="115"/>
        <v>53.570161065915528</v>
      </c>
      <c r="S654" s="52">
        <v>35</v>
      </c>
    </row>
    <row r="655" spans="1:19">
      <c r="A655" s="3">
        <f t="shared" si="110"/>
        <v>55</v>
      </c>
      <c r="B655" s="3">
        <f t="shared" si="109"/>
        <v>653</v>
      </c>
      <c r="C655" s="40">
        <f t="shared" si="111"/>
        <v>13549607334.625124</v>
      </c>
      <c r="D655" s="41">
        <f>'System Assumptions'!$E$11/12</f>
        <v>75242280</v>
      </c>
      <c r="E655" s="41">
        <f>-'System Assumptions'!$E$10/12</f>
        <v>-133627000</v>
      </c>
      <c r="F655" s="41">
        <f>IF(I654&lt;'System Assumptions'!$E$29,'Hydrological Data Model'!$E$33/12,'Hydrological Data Model'!$E$33/12)</f>
        <v>183636903.52495179</v>
      </c>
      <c r="G655" s="42">
        <f>IF(I654&lt;'System Assumptions'!$E$29,0,-(MIN('Hydrological Data Model'!$E$34,'Hydrological Data Model'!$E$33-'System Assumptions'!$E$12))/12)</f>
        <v>-125252183.52495177</v>
      </c>
      <c r="H655" s="42">
        <f t="shared" si="116"/>
        <v>13549607334.625124</v>
      </c>
      <c r="I655" s="106">
        <f>H655/'System Assumptions'!$F$15</f>
        <v>15.252270619126433</v>
      </c>
      <c r="J655" s="42">
        <f>'System Assumptions'!$E$30+'System Assumptions'!$E$28-'Data Model Calculations'!I655</f>
        <v>64.501329380873571</v>
      </c>
      <c r="K655" s="45">
        <f t="shared" si="112"/>
        <v>53.570161065915528</v>
      </c>
      <c r="L655" s="46">
        <f t="shared" si="113"/>
        <v>725854647295778.25</v>
      </c>
      <c r="M655" s="47">
        <f>D655/1000*('System Assumptions'!$F$20*1000000)</f>
        <v>276691425000.00018</v>
      </c>
      <c r="N655" s="48"/>
      <c r="O655" s="49">
        <f>(F655/1000)*('System Assumptions'!$F$21*1000000)</f>
        <v>6427291623373.3125</v>
      </c>
      <c r="P655" s="49">
        <f t="shared" si="117"/>
        <v>-6709779645289.2773</v>
      </c>
      <c r="Q655" s="48">
        <f t="shared" si="114"/>
        <v>725848850698862.25</v>
      </c>
      <c r="R655" s="53">
        <f t="shared" si="115"/>
        <v>53.569733260387814</v>
      </c>
      <c r="S655" s="52">
        <v>35</v>
      </c>
    </row>
    <row r="656" spans="1:19">
      <c r="A656" s="3">
        <f t="shared" si="110"/>
        <v>55</v>
      </c>
      <c r="B656" s="3">
        <f t="shared" ref="B656:B663" si="118">B655+1</f>
        <v>654</v>
      </c>
      <c r="C656" s="40">
        <f t="shared" si="111"/>
        <v>13549607334.625124</v>
      </c>
      <c r="D656" s="41">
        <f>'System Assumptions'!$E$11/12</f>
        <v>75242280</v>
      </c>
      <c r="E656" s="41">
        <f>-'System Assumptions'!$E$10/12</f>
        <v>-133627000</v>
      </c>
      <c r="F656" s="41">
        <f>IF(I655&lt;'System Assumptions'!$E$29,'Hydrological Data Model'!$E$33/12,'Hydrological Data Model'!$E$33/12)</f>
        <v>183636903.52495179</v>
      </c>
      <c r="G656" s="42">
        <f>IF(I655&lt;'System Assumptions'!$E$29,0,-(MIN('Hydrological Data Model'!$E$34,'Hydrological Data Model'!$E$33-'System Assumptions'!$E$12))/12)</f>
        <v>-125252183.52495177</v>
      </c>
      <c r="H656" s="42">
        <f t="shared" si="116"/>
        <v>13549607334.625124</v>
      </c>
      <c r="I656" s="106">
        <f>H656/'System Assumptions'!$F$15</f>
        <v>15.252270619126433</v>
      </c>
      <c r="J656" s="42">
        <f>'System Assumptions'!$E$30+'System Assumptions'!$E$28-'Data Model Calculations'!I656</f>
        <v>64.501329380873571</v>
      </c>
      <c r="K656" s="45">
        <f t="shared" si="112"/>
        <v>53.569733260387814</v>
      </c>
      <c r="L656" s="46">
        <f t="shared" si="113"/>
        <v>725848850698862.25</v>
      </c>
      <c r="M656" s="47">
        <f>D656/1000*('System Assumptions'!$F$20*1000000)</f>
        <v>276691425000.00018</v>
      </c>
      <c r="N656" s="48"/>
      <c r="O656" s="49">
        <f>(F656/1000)*('System Assumptions'!$F$21*1000000)</f>
        <v>6427291623373.3125</v>
      </c>
      <c r="P656" s="49">
        <f t="shared" si="117"/>
        <v>-6709726061712.8066</v>
      </c>
      <c r="Q656" s="48">
        <f t="shared" si="114"/>
        <v>725843107685522.75</v>
      </c>
      <c r="R656" s="53">
        <f t="shared" si="115"/>
        <v>53.569309409482202</v>
      </c>
      <c r="S656" s="52">
        <v>35</v>
      </c>
    </row>
    <row r="657" spans="1:19">
      <c r="A657" s="3">
        <f t="shared" si="110"/>
        <v>55</v>
      </c>
      <c r="B657" s="3">
        <f t="shared" si="118"/>
        <v>655</v>
      </c>
      <c r="C657" s="40">
        <f t="shared" si="111"/>
        <v>13549607334.625124</v>
      </c>
      <c r="D657" s="41">
        <f>'System Assumptions'!$E$11/12</f>
        <v>75242280</v>
      </c>
      <c r="E657" s="41">
        <f>-'System Assumptions'!$E$10/12</f>
        <v>-133627000</v>
      </c>
      <c r="F657" s="41">
        <f>IF(I656&lt;'System Assumptions'!$E$29,'Hydrological Data Model'!$E$33/12,'Hydrological Data Model'!$E$33/12)</f>
        <v>183636903.52495179</v>
      </c>
      <c r="G657" s="42">
        <f>IF(I656&lt;'System Assumptions'!$E$29,0,-(MIN('Hydrological Data Model'!$E$34,'Hydrological Data Model'!$E$33-'System Assumptions'!$E$12))/12)</f>
        <v>-125252183.52495177</v>
      </c>
      <c r="H657" s="42">
        <f t="shared" si="116"/>
        <v>13549607334.625124</v>
      </c>
      <c r="I657" s="106">
        <f>H657/'System Assumptions'!$F$15</f>
        <v>15.252270619126433</v>
      </c>
      <c r="J657" s="42">
        <f>'System Assumptions'!$E$30+'System Assumptions'!$E$28-'Data Model Calculations'!I657</f>
        <v>64.501329380873571</v>
      </c>
      <c r="K657" s="45">
        <f t="shared" si="112"/>
        <v>53.569309409482202</v>
      </c>
      <c r="L657" s="46">
        <f t="shared" si="113"/>
        <v>725843107685522.75</v>
      </c>
      <c r="M657" s="47">
        <f>D657/1000*('System Assumptions'!$F$20*1000000)</f>
        <v>276691425000.00018</v>
      </c>
      <c r="N657" s="48"/>
      <c r="O657" s="49">
        <f>(F657/1000)*('System Assumptions'!$F$21*1000000)</f>
        <v>6427291623373.3125</v>
      </c>
      <c r="P657" s="49">
        <f t="shared" si="117"/>
        <v>-6709672973461.3896</v>
      </c>
      <c r="Q657" s="48">
        <f t="shared" si="114"/>
        <v>725837417760434.63</v>
      </c>
      <c r="R657" s="53">
        <f t="shared" si="115"/>
        <v>53.568889476642269</v>
      </c>
      <c r="S657" s="52">
        <v>35</v>
      </c>
    </row>
    <row r="658" spans="1:19">
      <c r="A658" s="3">
        <f t="shared" si="110"/>
        <v>55</v>
      </c>
      <c r="B658" s="3">
        <f t="shared" si="118"/>
        <v>656</v>
      </c>
      <c r="C658" s="40">
        <f t="shared" si="111"/>
        <v>13549607334.625124</v>
      </c>
      <c r="D658" s="41">
        <f>'System Assumptions'!$E$11/12</f>
        <v>75242280</v>
      </c>
      <c r="E658" s="41">
        <f>-'System Assumptions'!$E$10/12</f>
        <v>-133627000</v>
      </c>
      <c r="F658" s="41">
        <f>IF(I657&lt;'System Assumptions'!$E$29,'Hydrological Data Model'!$E$33/12,'Hydrological Data Model'!$E$33/12)</f>
        <v>183636903.52495179</v>
      </c>
      <c r="G658" s="42">
        <f>IF(I657&lt;'System Assumptions'!$E$29,0,-(MIN('Hydrological Data Model'!$E$34,'Hydrological Data Model'!$E$33-'System Assumptions'!$E$12))/12)</f>
        <v>-125252183.52495177</v>
      </c>
      <c r="H658" s="42">
        <f t="shared" si="116"/>
        <v>13549607334.625124</v>
      </c>
      <c r="I658" s="106">
        <f>H658/'System Assumptions'!$F$15</f>
        <v>15.252270619126433</v>
      </c>
      <c r="J658" s="42">
        <f>'System Assumptions'!$E$30+'System Assumptions'!$E$28-'Data Model Calculations'!I658</f>
        <v>64.501329380873571</v>
      </c>
      <c r="K658" s="45">
        <f t="shared" si="112"/>
        <v>53.568889476642269</v>
      </c>
      <c r="L658" s="46">
        <f t="shared" si="113"/>
        <v>725837417760434.63</v>
      </c>
      <c r="M658" s="47">
        <f>D658/1000*('System Assumptions'!$F$20*1000000)</f>
        <v>276691425000.00018</v>
      </c>
      <c r="N658" s="48"/>
      <c r="O658" s="49">
        <f>(F658/1000)*('System Assumptions'!$F$21*1000000)</f>
        <v>6427291623373.3125</v>
      </c>
      <c r="P658" s="49">
        <f t="shared" si="117"/>
        <v>-6709620375956.2549</v>
      </c>
      <c r="Q658" s="48">
        <f t="shared" si="114"/>
        <v>725831780432851.75</v>
      </c>
      <c r="R658" s="53">
        <f t="shared" si="115"/>
        <v>53.568473425649515</v>
      </c>
      <c r="S658" s="52">
        <v>35</v>
      </c>
    </row>
    <row r="659" spans="1:19">
      <c r="A659" s="3">
        <f t="shared" si="110"/>
        <v>55</v>
      </c>
      <c r="B659" s="3">
        <f t="shared" si="118"/>
        <v>657</v>
      </c>
      <c r="C659" s="40">
        <f t="shared" si="111"/>
        <v>13549607334.625124</v>
      </c>
      <c r="D659" s="41">
        <f>'System Assumptions'!$E$11/12</f>
        <v>75242280</v>
      </c>
      <c r="E659" s="41">
        <f>-'System Assumptions'!$E$10/12</f>
        <v>-133627000</v>
      </c>
      <c r="F659" s="41">
        <f>IF(I658&lt;'System Assumptions'!$E$29,'Hydrological Data Model'!$E$33/12,'Hydrological Data Model'!$E$33/12)</f>
        <v>183636903.52495179</v>
      </c>
      <c r="G659" s="42">
        <f>IF(I658&lt;'System Assumptions'!$E$29,0,-(MIN('Hydrological Data Model'!$E$34,'Hydrological Data Model'!$E$33-'System Assumptions'!$E$12))/12)</f>
        <v>-125252183.52495177</v>
      </c>
      <c r="H659" s="42">
        <f t="shared" si="116"/>
        <v>13549607334.625124</v>
      </c>
      <c r="I659" s="106">
        <f>H659/'System Assumptions'!$F$15</f>
        <v>15.252270619126433</v>
      </c>
      <c r="J659" s="42">
        <f>'System Assumptions'!$E$30+'System Assumptions'!$E$28-'Data Model Calculations'!I659</f>
        <v>64.501329380873571</v>
      </c>
      <c r="K659" s="45">
        <f t="shared" si="112"/>
        <v>53.568473425649515</v>
      </c>
      <c r="L659" s="46">
        <f t="shared" si="113"/>
        <v>725831780432851.75</v>
      </c>
      <c r="M659" s="47">
        <f>D659/1000*('System Assumptions'!$F$20*1000000)</f>
        <v>276691425000.00018</v>
      </c>
      <c r="N659" s="48"/>
      <c r="O659" s="49">
        <f>(F659/1000)*('System Assumptions'!$F$21*1000000)</f>
        <v>6427291623373.3125</v>
      </c>
      <c r="P659" s="49">
        <f t="shared" si="117"/>
        <v>-6709568264660.9551</v>
      </c>
      <c r="Q659" s="48">
        <f t="shared" si="114"/>
        <v>725826195216564</v>
      </c>
      <c r="R659" s="53">
        <f t="shared" si="115"/>
        <v>53.568061220620258</v>
      </c>
      <c r="S659" s="52">
        <v>35</v>
      </c>
    </row>
    <row r="660" spans="1:19">
      <c r="A660" s="3">
        <f t="shared" si="110"/>
        <v>55</v>
      </c>
      <c r="B660" s="3">
        <f t="shared" si="118"/>
        <v>658</v>
      </c>
      <c r="C660" s="40">
        <f t="shared" si="111"/>
        <v>13549607334.625124</v>
      </c>
      <c r="D660" s="41">
        <f>'System Assumptions'!$E$11/12</f>
        <v>75242280</v>
      </c>
      <c r="E660" s="41">
        <f>-'System Assumptions'!$E$10/12</f>
        <v>-133627000</v>
      </c>
      <c r="F660" s="41">
        <f>IF(I659&lt;'System Assumptions'!$E$29,'Hydrological Data Model'!$E$33/12,'Hydrological Data Model'!$E$33/12)</f>
        <v>183636903.52495179</v>
      </c>
      <c r="G660" s="42">
        <f>IF(I659&lt;'System Assumptions'!$E$29,0,-(MIN('Hydrological Data Model'!$E$34,'Hydrological Data Model'!$E$33-'System Assumptions'!$E$12))/12)</f>
        <v>-125252183.52495177</v>
      </c>
      <c r="H660" s="42">
        <f t="shared" si="116"/>
        <v>13549607334.625124</v>
      </c>
      <c r="I660" s="106">
        <f>H660/'System Assumptions'!$F$15</f>
        <v>15.252270619126433</v>
      </c>
      <c r="J660" s="42">
        <f>'System Assumptions'!$E$30+'System Assumptions'!$E$28-'Data Model Calculations'!I660</f>
        <v>64.501329380873571</v>
      </c>
      <c r="K660" s="45">
        <f t="shared" si="112"/>
        <v>53.568061220620258</v>
      </c>
      <c r="L660" s="46">
        <f t="shared" si="113"/>
        <v>725826195216564</v>
      </c>
      <c r="M660" s="47">
        <f>D660/1000*('System Assumptions'!$F$20*1000000)</f>
        <v>276691425000.00018</v>
      </c>
      <c r="N660" s="48"/>
      <c r="O660" s="49">
        <f>(F660/1000)*('System Assumptions'!$F$21*1000000)</f>
        <v>6427291623373.3125</v>
      </c>
      <c r="P660" s="49">
        <f t="shared" si="117"/>
        <v>-6709516635080.9805</v>
      </c>
      <c r="Q660" s="48">
        <f t="shared" si="114"/>
        <v>725820661629856.25</v>
      </c>
      <c r="R660" s="53">
        <f t="shared" si="115"/>
        <v>53.567652826002536</v>
      </c>
      <c r="S660" s="52">
        <v>35</v>
      </c>
    </row>
    <row r="661" spans="1:19">
      <c r="A661" s="3">
        <f t="shared" si="110"/>
        <v>55</v>
      </c>
      <c r="B661" s="3">
        <f t="shared" si="118"/>
        <v>659</v>
      </c>
      <c r="C661" s="40">
        <f t="shared" si="111"/>
        <v>13549607334.625124</v>
      </c>
      <c r="D661" s="41">
        <f>'System Assumptions'!$E$11/12</f>
        <v>75242280</v>
      </c>
      <c r="E661" s="41">
        <f>-'System Assumptions'!$E$10/12</f>
        <v>-133627000</v>
      </c>
      <c r="F661" s="41">
        <f>IF(I660&lt;'System Assumptions'!$E$29,'Hydrological Data Model'!$E$33/12,'Hydrological Data Model'!$E$33/12)</f>
        <v>183636903.52495179</v>
      </c>
      <c r="G661" s="42">
        <f>IF(I660&lt;'System Assumptions'!$E$29,0,-(MIN('Hydrological Data Model'!$E$34,'Hydrological Data Model'!$E$33-'System Assumptions'!$E$12))/12)</f>
        <v>-125252183.52495177</v>
      </c>
      <c r="H661" s="42">
        <f t="shared" si="116"/>
        <v>13549607334.625124</v>
      </c>
      <c r="I661" s="106">
        <f>H661/'System Assumptions'!$F$15</f>
        <v>15.252270619126433</v>
      </c>
      <c r="J661" s="42">
        <f>'System Assumptions'!$E$30+'System Assumptions'!$E$28-'Data Model Calculations'!I661</f>
        <v>64.501329380873571</v>
      </c>
      <c r="K661" s="45">
        <f t="shared" si="112"/>
        <v>53.567652826002536</v>
      </c>
      <c r="L661" s="46">
        <f t="shared" si="113"/>
        <v>725820661629856.25</v>
      </c>
      <c r="M661" s="47">
        <f>D661/1000*('System Assumptions'!$F$20*1000000)</f>
        <v>276691425000.00018</v>
      </c>
      <c r="N661" s="48"/>
      <c r="O661" s="49">
        <f>(F661/1000)*('System Assumptions'!$F$21*1000000)</f>
        <v>6427291623373.3125</v>
      </c>
      <c r="P661" s="49">
        <f t="shared" si="117"/>
        <v>-6709465482763.3711</v>
      </c>
      <c r="Q661" s="48">
        <f t="shared" si="114"/>
        <v>725815179195466.13</v>
      </c>
      <c r="R661" s="53">
        <f t="shared" si="115"/>
        <v>53.567248206573005</v>
      </c>
      <c r="S661" s="52">
        <v>35</v>
      </c>
    </row>
    <row r="662" spans="1:19">
      <c r="A662" s="3">
        <f t="shared" si="110"/>
        <v>55</v>
      </c>
      <c r="B662" s="3">
        <f t="shared" si="118"/>
        <v>660</v>
      </c>
      <c r="C662" s="40">
        <f t="shared" si="111"/>
        <v>13549607334.625124</v>
      </c>
      <c r="D662" s="41">
        <f>'System Assumptions'!$E$11/12</f>
        <v>75242280</v>
      </c>
      <c r="E662" s="41">
        <f>-'System Assumptions'!$E$10/12</f>
        <v>-133627000</v>
      </c>
      <c r="F662" s="41">
        <f>IF(I661&lt;'System Assumptions'!$E$29,'Hydrological Data Model'!$E$33/12,'Hydrological Data Model'!$E$33/12)</f>
        <v>183636903.52495179</v>
      </c>
      <c r="G662" s="42">
        <f>IF(I661&lt;'System Assumptions'!$E$29,0,-(MIN('Hydrological Data Model'!$E$34,'Hydrological Data Model'!$E$33-'System Assumptions'!$E$12))/12)</f>
        <v>-125252183.52495177</v>
      </c>
      <c r="H662" s="42">
        <f t="shared" si="116"/>
        <v>13549607334.625124</v>
      </c>
      <c r="I662" s="106">
        <f>H662/'System Assumptions'!$F$15</f>
        <v>15.252270619126433</v>
      </c>
      <c r="J662" s="42">
        <f>'System Assumptions'!$E$30+'System Assumptions'!$E$28-'Data Model Calculations'!I662</f>
        <v>64.501329380873571</v>
      </c>
      <c r="K662" s="45">
        <f t="shared" si="112"/>
        <v>53.567248206573005</v>
      </c>
      <c r="L662" s="46">
        <f t="shared" si="113"/>
        <v>725815179195466.13</v>
      </c>
      <c r="M662" s="47">
        <f>D662/1000*('System Assumptions'!$F$20*1000000)</f>
        <v>276691425000.00018</v>
      </c>
      <c r="N662" s="48"/>
      <c r="O662" s="49">
        <f>(F662/1000)*('System Assumptions'!$F$21*1000000)</f>
        <v>6427291623373.3125</v>
      </c>
      <c r="P662" s="49">
        <f t="shared" si="117"/>
        <v>-6709414803296.3252</v>
      </c>
      <c r="Q662" s="48">
        <f t="shared" si="114"/>
        <v>725809747440543.13</v>
      </c>
      <c r="R662" s="53">
        <f t="shared" si="115"/>
        <v>53.566847327433941</v>
      </c>
      <c r="S662" s="52">
        <v>35</v>
      </c>
    </row>
    <row r="663" spans="1:19">
      <c r="A663" s="3">
        <f t="shared" si="110"/>
        <v>56</v>
      </c>
      <c r="B663" s="3">
        <f t="shared" si="118"/>
        <v>661</v>
      </c>
      <c r="C663" s="40">
        <f t="shared" si="111"/>
        <v>13549607334.625124</v>
      </c>
      <c r="D663" s="41">
        <f>'System Assumptions'!$E$11/12</f>
        <v>75242280</v>
      </c>
      <c r="E663" s="41">
        <f>-'System Assumptions'!$E$10/12</f>
        <v>-133627000</v>
      </c>
      <c r="F663" s="41">
        <f ca="1">IF(I662&lt;'System Assumptions'!$E$29,'Hydrological Data Model'!$E$33/12,'Hydrological Data Model'!$E$33/12+SUM(D663:G663))</f>
        <v>0</v>
      </c>
      <c r="G663" s="42">
        <f>IF(I662&lt;'System Assumptions'!$E$29,0,-(MIN('Hydrological Data Model'!$E$34,'Hydrological Data Model'!$E$33-'System Assumptions'!$E$12))/12)</f>
        <v>-125252183.52495177</v>
      </c>
      <c r="H663" s="42">
        <f t="shared" ca="1" si="116"/>
        <v>13345509322.043327</v>
      </c>
      <c r="I663" s="106">
        <f ca="1">H663/'System Assumptions'!$F$15</f>
        <v>15.02252535464423</v>
      </c>
      <c r="J663" s="42">
        <f ca="1">'System Assumptions'!$E$30+'System Assumptions'!$E$28-'Data Model Calculations'!I663</f>
        <v>64.731074645355775</v>
      </c>
      <c r="K663" s="45">
        <f t="shared" si="112"/>
        <v>53.566847327433941</v>
      </c>
      <c r="L663" s="46">
        <f t="shared" si="113"/>
        <v>725809747440543.13</v>
      </c>
      <c r="M663" s="47">
        <f>D663/1000*('System Assumptions'!$F$20*1000000)</f>
        <v>276691425000.00018</v>
      </c>
      <c r="N663" s="48"/>
      <c r="O663" s="49">
        <f ca="1">(F663/1000)*('System Assumptions'!$F$21*1000000)</f>
        <v>0</v>
      </c>
      <c r="P663" s="49">
        <f t="shared" si="117"/>
        <v>-6709364592308.8281</v>
      </c>
      <c r="Q663" s="48">
        <f t="shared" ca="1" si="114"/>
        <v>873574248516917.25</v>
      </c>
      <c r="R663" s="53">
        <f t="shared" ca="1" si="115"/>
        <v>65.458292181775235</v>
      </c>
      <c r="S663" s="52">
        <v>35</v>
      </c>
    </row>
  </sheetData>
  <mergeCells count="3">
    <mergeCell ref="A1:B1"/>
    <mergeCell ref="K1:S1"/>
    <mergeCell ref="C1:J1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3:Z18"/>
  <sheetViews>
    <sheetView showGridLines="0" showRowColHeaders="0" topLeftCell="A7" zoomScaleNormal="100" workbookViewId="0">
      <selection activeCell="Z35" sqref="Z35"/>
    </sheetView>
  </sheetViews>
  <sheetFormatPr defaultRowHeight="15"/>
  <cols>
    <col min="25" max="25" width="13.42578125" customWidth="1"/>
  </cols>
  <sheetData>
    <row r="3" spans="2:26" ht="26.25">
      <c r="B3" s="64" t="s">
        <v>265</v>
      </c>
      <c r="C3" s="65"/>
      <c r="D3" s="65"/>
      <c r="E3" s="65"/>
      <c r="F3" s="65"/>
    </row>
    <row r="5" spans="2:26">
      <c r="B5" s="61" t="s">
        <v>266</v>
      </c>
    </row>
    <row r="8" spans="2:26">
      <c r="Y8" s="1" t="s">
        <v>267</v>
      </c>
      <c r="Z8" s="62" t="s">
        <v>268</v>
      </c>
    </row>
    <row r="9" spans="2:26">
      <c r="Y9" s="3">
        <v>50</v>
      </c>
      <c r="Z9" s="63">
        <f>Y9</f>
        <v>50</v>
      </c>
    </row>
    <row r="10" spans="2:26">
      <c r="Y10" s="3"/>
      <c r="Z10" s="63"/>
    </row>
    <row r="11" spans="2:26">
      <c r="Y11" s="3">
        <v>19</v>
      </c>
      <c r="Z11" s="63">
        <f>Y11*4</f>
        <v>76</v>
      </c>
    </row>
    <row r="12" spans="2:26">
      <c r="Y12" s="3"/>
      <c r="Z12" s="63"/>
    </row>
    <row r="13" spans="2:26">
      <c r="Y13" s="3"/>
      <c r="Z13" s="63"/>
    </row>
    <row r="14" spans="2:26">
      <c r="Y14" s="3"/>
      <c r="Z14" s="63"/>
    </row>
    <row r="15" spans="2:26">
      <c r="Y15" s="3">
        <v>14</v>
      </c>
      <c r="Z15" s="63">
        <f>Y15*16</f>
        <v>224</v>
      </c>
    </row>
    <row r="16" spans="2:26">
      <c r="Y16" s="3"/>
      <c r="Z16" s="63"/>
    </row>
    <row r="17" spans="25:26">
      <c r="Y17" s="1"/>
      <c r="Z17" s="62"/>
    </row>
    <row r="18" spans="25:26">
      <c r="Y18" t="s">
        <v>269</v>
      </c>
      <c r="Z18" s="63">
        <f>SUM(Z9:Z15)</f>
        <v>350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/>
  <dimension ref="B2:D17"/>
  <sheetViews>
    <sheetView showGridLines="0" showRowColHeaders="0" zoomScale="85" zoomScaleNormal="85" workbookViewId="0">
      <selection activeCell="C8" sqref="C8"/>
    </sheetView>
  </sheetViews>
  <sheetFormatPr defaultRowHeight="15"/>
  <cols>
    <col min="2" max="2" width="36.28515625" customWidth="1"/>
    <col min="3" max="3" width="11.5703125" customWidth="1"/>
    <col min="4" max="4" width="74.28515625" customWidth="1"/>
  </cols>
  <sheetData>
    <row r="2" spans="2:4" ht="26.25">
      <c r="B2" s="64" t="s">
        <v>265</v>
      </c>
      <c r="C2" s="65"/>
    </row>
    <row r="5" spans="2:4">
      <c r="B5" s="26" t="s">
        <v>270</v>
      </c>
      <c r="C5" s="1" t="s">
        <v>271</v>
      </c>
      <c r="D5" s="26" t="s">
        <v>272</v>
      </c>
    </row>
    <row r="6" spans="2:4">
      <c r="B6" t="s">
        <v>111</v>
      </c>
      <c r="C6" s="29">
        <f>'System Assumptions'!G10</f>
        <v>1300000</v>
      </c>
      <c r="D6" s="36" t="s">
        <v>273</v>
      </c>
    </row>
    <row r="7" spans="2:4">
      <c r="B7" t="s">
        <v>112</v>
      </c>
      <c r="C7" s="29">
        <f>'System Assumptions'!G11</f>
        <v>732000</v>
      </c>
      <c r="D7" s="36" t="s">
        <v>273</v>
      </c>
    </row>
    <row r="8" spans="2:4">
      <c r="B8" t="s">
        <v>274</v>
      </c>
      <c r="C8" s="29">
        <f>'System Assumptions'!G15</f>
        <v>343</v>
      </c>
      <c r="D8" s="36" t="s">
        <v>275</v>
      </c>
    </row>
    <row r="9" spans="2:4">
      <c r="B9" t="s">
        <v>276</v>
      </c>
      <c r="C9" s="29">
        <f>'System Assumptions'!F28</f>
        <v>32</v>
      </c>
      <c r="D9" s="36" t="s">
        <v>275</v>
      </c>
    </row>
    <row r="10" spans="2:4">
      <c r="B10" t="s">
        <v>277</v>
      </c>
      <c r="C10" s="29">
        <f>'System Assumptions'!E30</f>
        <v>70</v>
      </c>
      <c r="D10" s="36" t="s">
        <v>275</v>
      </c>
    </row>
    <row r="11" spans="2:4">
      <c r="B11" t="s">
        <v>197</v>
      </c>
      <c r="C11" s="15">
        <f>'Hydrological Data Model'!E18</f>
        <v>0.9</v>
      </c>
    </row>
    <row r="12" spans="2:4">
      <c r="B12" t="s">
        <v>198</v>
      </c>
      <c r="C12" s="15">
        <f>'Hydrological Data Model'!E19</f>
        <v>0.95</v>
      </c>
    </row>
    <row r="13" spans="2:4">
      <c r="B13" t="s">
        <v>199</v>
      </c>
      <c r="C13" s="15">
        <f>'Hydrological Data Model'!E20</f>
        <v>0.98</v>
      </c>
    </row>
    <row r="14" spans="2:4">
      <c r="B14" t="s">
        <v>200</v>
      </c>
      <c r="C14" s="30">
        <f>'Hydrological Data Model'!E21</f>
        <v>20</v>
      </c>
    </row>
    <row r="15" spans="2:4">
      <c r="B15" s="4" t="s">
        <v>278</v>
      </c>
      <c r="C15" s="3">
        <v>65</v>
      </c>
      <c r="D15" s="36" t="s">
        <v>273</v>
      </c>
    </row>
    <row r="16" spans="2:4">
      <c r="B16" s="4" t="s">
        <v>123</v>
      </c>
      <c r="C16" s="37">
        <v>3.6773397217628201</v>
      </c>
    </row>
    <row r="17" spans="2:3">
      <c r="B17" s="4" t="s">
        <v>279</v>
      </c>
      <c r="C17" s="3">
        <v>35</v>
      </c>
    </row>
  </sheetData>
  <hyperlinks>
    <hyperlink ref="D8" r:id="rId1" xr:uid="{00000000-0004-0000-0600-000000000000}"/>
    <hyperlink ref="D9" r:id="rId2" xr:uid="{00000000-0004-0000-0600-000001000000}"/>
    <hyperlink ref="D10" r:id="rId3" xr:uid="{00000000-0004-0000-0600-000002000000}"/>
    <hyperlink ref="D6" r:id="rId4" location=":~:text=The%20open%20water%20surface%20evaporation,System%20%5BCIMIS%5D%202012)." xr:uid="{00000000-0004-0000-0600-000003000000}"/>
    <hyperlink ref="D7" r:id="rId5" location=":~:text=The%20open%20water%20surface%20evaporation,System%20%5BCIMIS%5D%202012)." xr:uid="{00000000-0004-0000-0600-000004000000}"/>
    <hyperlink ref="D15" r:id="rId6" location=":~:text=The%20open%20water%20surface%20evaporation,System%20%5BCIMIS%5D%202012)." xr:uid="{00000000-0004-0000-0600-000005000000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415EAC2019B624CB5B24CF9FF2800B8" ma:contentTypeVersion="12" ma:contentTypeDescription="Create a new document." ma:contentTypeScope="" ma:versionID="95efd9c7d094caec76dfff43f0203ee8">
  <xsd:schema xmlns:xsd="http://www.w3.org/2001/XMLSchema" xmlns:xs="http://www.w3.org/2001/XMLSchema" xmlns:p="http://schemas.microsoft.com/office/2006/metadata/properties" xmlns:ns2="c67f01ef-52a7-44e9-8f2a-d94dec3f814f" xmlns:ns3="bbce72e2-4278-4548-8ef4-8ad0fc682cbb" targetNamespace="http://schemas.microsoft.com/office/2006/metadata/properties" ma:root="true" ma:fieldsID="0768b88caf2e382bd0e7b33f2a6b2063" ns2:_="" ns3:_="">
    <xsd:import namespace="c67f01ef-52a7-44e9-8f2a-d94dec3f814f"/>
    <xsd:import namespace="bbce72e2-4278-4548-8ef4-8ad0fc682cb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7f01ef-52a7-44e9-8f2a-d94dec3f81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ce72e2-4278-4548-8ef4-8ad0fc682cb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3FA0B9D-6CFF-4BE4-BEDC-FD6CD88B9D93}"/>
</file>

<file path=customXml/itemProps2.xml><?xml version="1.0" encoding="utf-8"?>
<ds:datastoreItem xmlns:ds="http://schemas.openxmlformats.org/officeDocument/2006/customXml" ds:itemID="{178F69B0-19A3-48AC-A50E-226091F83808}"/>
</file>

<file path=customXml/itemProps3.xml><?xml version="1.0" encoding="utf-8"?>
<ds:datastoreItem xmlns:ds="http://schemas.openxmlformats.org/officeDocument/2006/customXml" ds:itemID="{B39D353D-281F-4CC4-8235-4E155B1153E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Jason McBride</dc:creator>
  <cp:keywords/>
  <dc:description/>
  <cp:lastModifiedBy>Philburgi39</cp:lastModifiedBy>
  <cp:revision/>
  <dcterms:created xsi:type="dcterms:W3CDTF">2021-08-16T06:15:28Z</dcterms:created>
  <dcterms:modified xsi:type="dcterms:W3CDTF">2021-11-11T19:43:52Z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0x0101002415EAC2019B624CB5B24CF9FF2800B8</vt:lpwstr>
  </property>
</Properties>
</file>