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18\WaterImportSaltExtractionRevenue_SWT\"/>
    </mc:Choice>
  </mc:AlternateContent>
  <bookViews>
    <workbookView xWindow="10695" yWindow="6240" windowWidth="16350" windowHeight="8190" tabRatio="470"/>
  </bookViews>
  <sheets>
    <sheet name="WI western Yuha Route" sheetId="1" r:id="rId1"/>
    <sheet name="WI eastern New River Route" sheetId="3" r:id="rId2"/>
  </sheets>
  <calcPr calcId="152511"/>
</workbook>
</file>

<file path=xl/calcChain.xml><?xml version="1.0" encoding="utf-8"?>
<calcChain xmlns="http://schemas.openxmlformats.org/spreadsheetml/2006/main">
  <c r="B10" i="3" l="1"/>
  <c r="B55" i="3"/>
  <c r="B56" i="3"/>
  <c r="B10" i="1"/>
  <c r="B11" i="1"/>
  <c r="B36" i="1"/>
  <c r="B63" i="3"/>
  <c r="B64" i="3"/>
  <c r="B63" i="1"/>
  <c r="B64" i="1"/>
  <c r="B69" i="1" s="1"/>
  <c r="B92" i="3"/>
  <c r="B68" i="3"/>
  <c r="B69" i="3"/>
  <c r="B71" i="3" s="1"/>
  <c r="B73" i="3" s="1"/>
  <c r="B46" i="3"/>
  <c r="B41" i="3"/>
  <c r="B42" i="3" s="1"/>
  <c r="B47" i="3" s="1"/>
  <c r="B38" i="3"/>
  <c r="B36" i="3"/>
  <c r="B33" i="3"/>
  <c r="B18" i="3"/>
  <c r="B19" i="3"/>
  <c r="B21" i="3" s="1"/>
  <c r="B11" i="3"/>
  <c r="B13" i="3"/>
  <c r="B8" i="3"/>
  <c r="B7" i="3"/>
  <c r="B6" i="3"/>
  <c r="B6" i="1"/>
  <c r="B7" i="1"/>
  <c r="B8" i="1"/>
  <c r="B18" i="1"/>
  <c r="B19" i="1"/>
  <c r="B21" i="1" s="1"/>
  <c r="B33" i="1"/>
  <c r="B38" i="1"/>
  <c r="B41" i="1"/>
  <c r="B42" i="1"/>
  <c r="B47" i="1" s="1"/>
  <c r="B50" i="1" s="1"/>
  <c r="B51" i="1" s="1"/>
  <c r="B46" i="1"/>
  <c r="B68" i="1"/>
  <c r="B92" i="1"/>
  <c r="B15" i="3"/>
  <c r="B55" i="1"/>
  <c r="B56" i="1"/>
  <c r="D56" i="3"/>
  <c r="B60" i="3"/>
  <c r="B58" i="3"/>
  <c r="B100" i="3"/>
  <c r="B103" i="3"/>
  <c r="B13" i="1"/>
  <c r="B15" i="1"/>
  <c r="B58" i="1"/>
  <c r="B100" i="1"/>
  <c r="B103" i="1"/>
  <c r="B60" i="1"/>
  <c r="D56" i="1"/>
  <c r="B93" i="3"/>
  <c r="B82" i="3"/>
  <c r="B76" i="3"/>
  <c r="B77" i="3"/>
  <c r="B27" i="1" l="1"/>
  <c r="B28" i="1" s="1"/>
  <c r="B22" i="1"/>
  <c r="B24" i="1" s="1"/>
  <c r="B22" i="3"/>
  <c r="B24" i="3" s="1"/>
  <c r="B27" i="3"/>
  <c r="B28" i="3" s="1"/>
  <c r="B95" i="3"/>
  <c r="B98" i="3" s="1"/>
  <c r="B50" i="3"/>
  <c r="B51" i="3" s="1"/>
  <c r="B48" i="3"/>
  <c r="B85" i="3"/>
  <c r="B70" i="3"/>
  <c r="B78" i="3" s="1"/>
  <c r="B87" i="3"/>
  <c r="B90" i="3" s="1"/>
  <c r="B71" i="1"/>
  <c r="B73" i="1" s="1"/>
  <c r="B76" i="1"/>
  <c r="B77" i="1" s="1"/>
  <c r="B70" i="1"/>
  <c r="B82" i="1"/>
  <c r="B87" i="1"/>
  <c r="B90" i="1" s="1"/>
  <c r="B93" i="1"/>
  <c r="B95" i="1"/>
  <c r="B98" i="1" s="1"/>
  <c r="B48" i="1"/>
  <c r="B108" i="3" l="1"/>
  <c r="B104" i="3"/>
  <c r="B106" i="3"/>
  <c r="B85" i="1"/>
  <c r="B104" i="1" s="1"/>
  <c r="B106" i="1" s="1"/>
  <c r="B108" i="1"/>
  <c r="B78" i="1"/>
</calcChain>
</file>

<file path=xl/sharedStrings.xml><?xml version="1.0" encoding="utf-8"?>
<sst xmlns="http://schemas.openxmlformats.org/spreadsheetml/2006/main" count="382" uniqueCount="103">
  <si>
    <t>Canal width</t>
  </si>
  <si>
    <t>ft</t>
  </si>
  <si>
    <t>Canal apex elevation</t>
  </si>
  <si>
    <t>Canal depth</t>
  </si>
  <si>
    <t>Canal exposed length</t>
  </si>
  <si>
    <t>miles</t>
  </si>
  <si>
    <t>Canal capacity</t>
  </si>
  <si>
    <t>AF</t>
  </si>
  <si>
    <t>Avg Annual Precipitation Inflow Rate</t>
  </si>
  <si>
    <t>AF/yr</t>
  </si>
  <si>
    <t>Avg Annual Evaporation Rate</t>
  </si>
  <si>
    <t>in/yr</t>
  </si>
  <si>
    <t>Net Avg Annual Canal Balance</t>
  </si>
  <si>
    <t>Avg Daily Flow Rate</t>
  </si>
  <si>
    <t>AF/day</t>
  </si>
  <si>
    <t>constant</t>
  </si>
  <si>
    <t>gal/AF</t>
  </si>
  <si>
    <t>Flow Rate (gpm)</t>
  </si>
  <si>
    <t>gpm</t>
  </si>
  <si>
    <t>cu-m/AF</t>
  </si>
  <si>
    <t>Flow Rate</t>
  </si>
  <si>
    <t>cu-m/s</t>
  </si>
  <si>
    <t>Sea Water Density</t>
  </si>
  <si>
    <t>kg/cu-m</t>
  </si>
  <si>
    <t>Acceleration of gravity</t>
  </si>
  <si>
    <t>m/sq-s</t>
  </si>
  <si>
    <t>Head Pressure</t>
  </si>
  <si>
    <t>m</t>
  </si>
  <si>
    <t>Archimedes Screw Turbine Efficiency</t>
  </si>
  <si>
    <t>Power from Water</t>
  </si>
  <si>
    <t>Watts</t>
  </si>
  <si>
    <t>Peak Flow Rate</t>
  </si>
  <si>
    <t>Hours per day</t>
  </si>
  <si>
    <t>hr</t>
  </si>
  <si>
    <t>Daily Flow Rate</t>
  </si>
  <si>
    <t>System Availability</t>
  </si>
  <si>
    <t>Power Sales Rate</t>
  </si>
  <si>
    <t>$/kWh</t>
  </si>
  <si>
    <t>Revenue loss while evaporating</t>
  </si>
  <si>
    <t>$/hr</t>
  </si>
  <si>
    <t>Annual Hydro Power Evaporation Loss</t>
  </si>
  <si>
    <t>$/yr</t>
  </si>
  <si>
    <t>Daily Seawater Pump Up Rate</t>
  </si>
  <si>
    <t>Seawater Salinity Sea of Cortez</t>
  </si>
  <si>
    <t>ppm TDS</t>
  </si>
  <si>
    <t>Annual Seawater Pump Up Rate</t>
  </si>
  <si>
    <t>Pumping Hours per day</t>
  </si>
  <si>
    <t>Pump Up Flow Rate</t>
  </si>
  <si>
    <t>Seawater Density</t>
  </si>
  <si>
    <t xml:space="preserve">Pump Head </t>
  </si>
  <si>
    <t>Archimedes Screw Pump Efficiency</t>
  </si>
  <si>
    <t>%</t>
  </si>
  <si>
    <t>Generator Efficiency</t>
  </si>
  <si>
    <t>Gearbox Efficiency</t>
  </si>
  <si>
    <t>Net Efficiency</t>
  </si>
  <si>
    <t>Power to Lift Water</t>
  </si>
  <si>
    <t>MW</t>
  </si>
  <si>
    <t>Pump Up Power Rate</t>
  </si>
  <si>
    <t>Cost to Lift Water</t>
  </si>
  <si>
    <t>Annual Power Cost to Lift Seawater</t>
  </si>
  <si>
    <t>Annual Hydro Recovery Rate</t>
  </si>
  <si>
    <t>Avg Daily Hydro Recovery Rate</t>
  </si>
  <si>
    <t>Canal Flow Rate (gpm)</t>
  </si>
  <si>
    <t>Operating Hours per day</t>
  </si>
  <si>
    <t>Power Rate</t>
  </si>
  <si>
    <t>Revenue while running</t>
  </si>
  <si>
    <t>Annual Hydro Recovery Revenue</t>
  </si>
  <si>
    <t>Net Power Output</t>
  </si>
  <si>
    <t>Unit Cost of Turbine Generators</t>
  </si>
  <si>
    <t>$/kW</t>
  </si>
  <si>
    <t>Capital Cost of Turbine Generators</t>
  </si>
  <si>
    <t>$</t>
  </si>
  <si>
    <t>Life of Turbine Generators</t>
  </si>
  <si>
    <t>yrs</t>
  </si>
  <si>
    <t>O&amp;M Cost of Turbine Generators</t>
  </si>
  <si>
    <t>Amortized Cost of Turbine Generators</t>
  </si>
  <si>
    <t>Cost of Spillways</t>
  </si>
  <si>
    <t>Capital Cost of Spillways</t>
  </si>
  <si>
    <t>Life of Spillways</t>
  </si>
  <si>
    <t>O&amp;M Cost of Spillways</t>
  </si>
  <si>
    <t>Amortized Cost of Spillways</t>
  </si>
  <si>
    <t>Cost of Power Transmission</t>
  </si>
  <si>
    <t>$/kW-month</t>
  </si>
  <si>
    <t>Annual Cost of Power Transmission</t>
  </si>
  <si>
    <t>Unit Cost of Pump Screws</t>
  </si>
  <si>
    <t>Capital Cost of Pump Screws</t>
  </si>
  <si>
    <t>Life of Pump Screws</t>
  </si>
  <si>
    <t>O&amp;M Cost of Pump Screws</t>
  </si>
  <si>
    <t>Amortized Cost of Pump Screws</t>
  </si>
  <si>
    <t>Unit Cost of Seawater Pump Motors</t>
  </si>
  <si>
    <t>$/kGPM</t>
  </si>
  <si>
    <t>Capital Cost of Seawater Pump Motors</t>
  </si>
  <si>
    <t>Life of Seawater Pump Motor</t>
  </si>
  <si>
    <t>O&amp;M Cost of Seawater Pump Motors</t>
  </si>
  <si>
    <t>Amortized Cost of Seawater Pump Motors</t>
  </si>
  <si>
    <t>Total Annual Cost</t>
  </si>
  <si>
    <t>Net Revenue</t>
  </si>
  <si>
    <t>Total Capital Cost (pumps,turbines)</t>
  </si>
  <si>
    <t>Evaporation Losses from Canal</t>
  </si>
  <si>
    <t>Pump Up Calculation</t>
  </si>
  <si>
    <t>Energy Recovery Calculation</t>
  </si>
  <si>
    <t>Cost and Revenue Calculation</t>
  </si>
  <si>
    <t>Drop for canal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</si>
</sst>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0"/>
    <numFmt numFmtId="166" formatCode="#,##0.00000"/>
    <numFmt numFmtId="167" formatCode="0.0"/>
    <numFmt numFmtId="168" formatCode="0.0000"/>
    <numFmt numFmtId="169" formatCode="&quot;$&quot;#,##0"/>
  </numFmts>
  <fonts count="3" x14ac:knownFonts="1">
    <font>
      <sz val="10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3"/>
      </patternFill>
    </fill>
    <fill>
      <patternFill patternType="solid">
        <fgColor indexed="11"/>
        <bgColor indexed="49"/>
      </patternFill>
    </fill>
    <fill>
      <patternFill patternType="solid">
        <fgColor indexed="49"/>
        <bgColor indexed="57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164" fontId="0" fillId="3" borderId="0" xfId="0" applyNumberFormat="1" applyFill="1"/>
    <xf numFmtId="164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4" fontId="0" fillId="0" borderId="0" xfId="0" applyNumberFormat="1"/>
    <xf numFmtId="165" fontId="0" fillId="0" borderId="0" xfId="0" applyNumberFormat="1"/>
    <xf numFmtId="3" fontId="0" fillId="3" borderId="0" xfId="0" applyNumberFormat="1" applyFill="1"/>
    <xf numFmtId="2" fontId="0" fillId="0" borderId="0" xfId="0" applyNumberFormat="1" applyFill="1"/>
    <xf numFmtId="2" fontId="0" fillId="0" borderId="0" xfId="0" applyNumberFormat="1"/>
    <xf numFmtId="9" fontId="0" fillId="3" borderId="0" xfId="0" applyNumberFormat="1" applyFill="1"/>
    <xf numFmtId="166" fontId="0" fillId="0" borderId="0" xfId="0" applyNumberFormat="1"/>
    <xf numFmtId="167" fontId="0" fillId="0" borderId="0" xfId="0" applyNumberFormat="1"/>
    <xf numFmtId="4" fontId="0" fillId="3" borderId="0" xfId="0" applyNumberFormat="1" applyFill="1"/>
    <xf numFmtId="2" fontId="0" fillId="3" borderId="0" xfId="0" applyNumberFormat="1" applyFill="1"/>
    <xf numFmtId="9" fontId="0" fillId="0" borderId="0" xfId="0" applyNumberFormat="1" applyFill="1"/>
    <xf numFmtId="4" fontId="0" fillId="4" borderId="0" xfId="0" applyNumberFormat="1" applyFill="1"/>
    <xf numFmtId="0" fontId="0" fillId="3" borderId="0" xfId="0" applyFill="1"/>
    <xf numFmtId="4" fontId="0" fillId="5" borderId="0" xfId="0" applyNumberFormat="1" applyFill="1"/>
    <xf numFmtId="1" fontId="0" fillId="0" borderId="0" xfId="0" applyNumberFormat="1"/>
    <xf numFmtId="164" fontId="0" fillId="6" borderId="0" xfId="0" applyNumberFormat="1" applyFill="1"/>
    <xf numFmtId="1" fontId="0" fillId="3" borderId="0" xfId="0" applyNumberFormat="1" applyFill="1"/>
    <xf numFmtId="168" fontId="0" fillId="0" borderId="0" xfId="0" applyNumberFormat="1" applyFill="1"/>
    <xf numFmtId="0" fontId="0" fillId="0" borderId="0" xfId="0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2" fillId="9" borderId="0" xfId="0" applyFont="1" applyFill="1"/>
    <xf numFmtId="0" fontId="0" fillId="9" borderId="0" xfId="0" applyFill="1"/>
    <xf numFmtId="0" fontId="2" fillId="7" borderId="0" xfId="0" applyFont="1" applyFill="1"/>
    <xf numFmtId="0" fontId="2" fillId="10" borderId="0" xfId="0" applyFont="1" applyFill="1"/>
    <xf numFmtId="0" fontId="0" fillId="10" borderId="0" xfId="0" applyFill="1"/>
    <xf numFmtId="169" fontId="0" fillId="0" borderId="0" xfId="0" applyNumberFormat="1"/>
    <xf numFmtId="0" fontId="0" fillId="7" borderId="0" xfId="0" applyFont="1" applyFill="1"/>
  </cellXfs>
  <cellStyles count="2">
    <cellStyle name="Excel_BuiltIn_Bad 1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zoomScale="110" zoomScaleNormal="110" workbookViewId="0">
      <selection activeCell="B1" sqref="B1"/>
    </sheetView>
  </sheetViews>
  <sheetFormatPr defaultRowHeight="12.75" x14ac:dyDescent="0.2"/>
  <cols>
    <col min="1" max="1" width="34" customWidth="1"/>
    <col min="2" max="2" width="17" customWidth="1"/>
    <col min="3" max="3" width="11.140625" customWidth="1"/>
  </cols>
  <sheetData>
    <row r="1" spans="1:8" x14ac:dyDescent="0.2">
      <c r="A1" s="26" t="s">
        <v>98</v>
      </c>
    </row>
    <row r="2" spans="1:8" x14ac:dyDescent="0.2">
      <c r="A2" s="25" t="s">
        <v>0</v>
      </c>
      <c r="B2" s="1">
        <v>30</v>
      </c>
      <c r="C2" t="s">
        <v>1</v>
      </c>
    </row>
    <row r="3" spans="1:8" x14ac:dyDescent="0.2">
      <c r="A3" s="25" t="s">
        <v>2</v>
      </c>
      <c r="B3" s="1">
        <v>305</v>
      </c>
      <c r="C3" t="s">
        <v>1</v>
      </c>
    </row>
    <row r="4" spans="1:8" x14ac:dyDescent="0.2">
      <c r="A4" s="25" t="s">
        <v>3</v>
      </c>
      <c r="B4" s="1">
        <v>12</v>
      </c>
      <c r="C4" t="s">
        <v>1</v>
      </c>
    </row>
    <row r="5" spans="1:8" x14ac:dyDescent="0.2">
      <c r="A5" s="25" t="s">
        <v>4</v>
      </c>
      <c r="B5" s="1">
        <v>150</v>
      </c>
      <c r="C5" t="s">
        <v>5</v>
      </c>
    </row>
    <row r="6" spans="1:8" x14ac:dyDescent="0.2">
      <c r="A6" s="25" t="s">
        <v>4</v>
      </c>
      <c r="B6" s="2">
        <f>B5*5280</f>
        <v>792000</v>
      </c>
      <c r="C6" t="s">
        <v>1</v>
      </c>
    </row>
    <row r="7" spans="1:8" x14ac:dyDescent="0.2">
      <c r="A7" s="25" t="s">
        <v>6</v>
      </c>
      <c r="B7" s="2">
        <f>B2*B4*B5</f>
        <v>54000</v>
      </c>
      <c r="C7" t="s">
        <v>7</v>
      </c>
    </row>
    <row r="8" spans="1:8" x14ac:dyDescent="0.2">
      <c r="A8" s="25" t="s">
        <v>8</v>
      </c>
      <c r="B8" s="2">
        <f>3/12*B2</f>
        <v>7.5</v>
      </c>
      <c r="C8" t="s">
        <v>9</v>
      </c>
      <c r="E8" s="3"/>
      <c r="H8" s="3"/>
    </row>
    <row r="9" spans="1:8" x14ac:dyDescent="0.2">
      <c r="A9" s="25" t="s">
        <v>10</v>
      </c>
      <c r="B9" s="3">
        <v>68</v>
      </c>
      <c r="C9" t="s">
        <v>11</v>
      </c>
    </row>
    <row r="10" spans="1:8" x14ac:dyDescent="0.2">
      <c r="A10" s="25" t="s">
        <v>12</v>
      </c>
      <c r="B10" s="3">
        <f>B8-(B2*B5*B9/12)</f>
        <v>-25492.5</v>
      </c>
      <c r="C10" t="s">
        <v>9</v>
      </c>
    </row>
    <row r="11" spans="1:8" x14ac:dyDescent="0.2">
      <c r="A11" s="25" t="s">
        <v>13</v>
      </c>
      <c r="B11" s="2">
        <f>B10/325</f>
        <v>-78.438461538461539</v>
      </c>
      <c r="C11" t="s">
        <v>14</v>
      </c>
    </row>
    <row r="12" spans="1:8" hidden="1" x14ac:dyDescent="0.2">
      <c r="A12" s="25" t="s">
        <v>15</v>
      </c>
      <c r="B12" s="4">
        <v>325851</v>
      </c>
      <c r="C12" t="s">
        <v>16</v>
      </c>
    </row>
    <row r="13" spans="1:8" x14ac:dyDescent="0.2">
      <c r="A13" s="25" t="s">
        <v>17</v>
      </c>
      <c r="B13" s="5">
        <f>B11*B12/B23/60</f>
        <v>-17749.479951923076</v>
      </c>
      <c r="C13" t="s">
        <v>18</v>
      </c>
    </row>
    <row r="14" spans="1:8" hidden="1" x14ac:dyDescent="0.2">
      <c r="A14" s="25" t="s">
        <v>15</v>
      </c>
      <c r="B14" s="5">
        <v>1233.489</v>
      </c>
      <c r="C14" t="s">
        <v>19</v>
      </c>
    </row>
    <row r="15" spans="1:8" hidden="1" x14ac:dyDescent="0.2">
      <c r="A15" s="25" t="s">
        <v>20</v>
      </c>
      <c r="B15" s="6">
        <f>B11*B14/B23/60/60</f>
        <v>-1.1198261514423076</v>
      </c>
      <c r="C15" t="s">
        <v>21</v>
      </c>
    </row>
    <row r="16" spans="1:8" hidden="1" x14ac:dyDescent="0.2">
      <c r="A16" s="25" t="s">
        <v>22</v>
      </c>
      <c r="B16" s="7">
        <v>1020</v>
      </c>
      <c r="C16" t="s">
        <v>23</v>
      </c>
    </row>
    <row r="17" spans="1:3" hidden="1" x14ac:dyDescent="0.2">
      <c r="A17" s="25" t="s">
        <v>24</v>
      </c>
      <c r="B17">
        <v>9.8066499999999994</v>
      </c>
      <c r="C17" t="s">
        <v>25</v>
      </c>
    </row>
    <row r="18" spans="1:3" hidden="1" x14ac:dyDescent="0.2">
      <c r="A18" s="25" t="s">
        <v>26</v>
      </c>
      <c r="B18" s="8">
        <f xml:space="preserve"> B3</f>
        <v>305</v>
      </c>
      <c r="C18" t="s">
        <v>1</v>
      </c>
    </row>
    <row r="19" spans="1:3" hidden="1" x14ac:dyDescent="0.2">
      <c r="A19" s="25" t="s">
        <v>26</v>
      </c>
      <c r="B19" s="9">
        <f>B18*0.3048</f>
        <v>92.963999999999999</v>
      </c>
      <c r="C19" t="s">
        <v>27</v>
      </c>
    </row>
    <row r="20" spans="1:3" hidden="1" x14ac:dyDescent="0.2">
      <c r="A20" s="25" t="s">
        <v>28</v>
      </c>
      <c r="B20" s="10">
        <v>0.85</v>
      </c>
    </row>
    <row r="21" spans="1:3" hidden="1" x14ac:dyDescent="0.2">
      <c r="A21" s="25" t="s">
        <v>29</v>
      </c>
      <c r="B21" s="5">
        <f>B20*B16*B17*B19*B15</f>
        <v>-885126.16799061815</v>
      </c>
      <c r="C21" t="s">
        <v>30</v>
      </c>
    </row>
    <row r="22" spans="1:3" hidden="1" x14ac:dyDescent="0.2">
      <c r="A22" s="25" t="s">
        <v>31</v>
      </c>
      <c r="B22" s="11">
        <f>B21/(B16*B17*B19*B20)</f>
        <v>-1.1198261514423076</v>
      </c>
      <c r="C22" t="s">
        <v>21</v>
      </c>
    </row>
    <row r="23" spans="1:3" hidden="1" x14ac:dyDescent="0.2">
      <c r="A23" s="25" t="s">
        <v>32</v>
      </c>
      <c r="B23" s="7">
        <v>24</v>
      </c>
      <c r="C23" t="s">
        <v>33</v>
      </c>
    </row>
    <row r="24" spans="1:3" hidden="1" x14ac:dyDescent="0.2">
      <c r="A24" s="25" t="s">
        <v>34</v>
      </c>
      <c r="B24" s="12">
        <f>B22/(B14/B23/60/60)</f>
        <v>-78.438461538461524</v>
      </c>
      <c r="C24" t="s">
        <v>14</v>
      </c>
    </row>
    <row r="25" spans="1:3" hidden="1" x14ac:dyDescent="0.2">
      <c r="A25" s="25" t="s">
        <v>35</v>
      </c>
      <c r="B25" s="13">
        <v>0.95</v>
      </c>
    </row>
    <row r="26" spans="1:3" hidden="1" x14ac:dyDescent="0.2">
      <c r="A26" s="25" t="s">
        <v>36</v>
      </c>
      <c r="B26" s="14">
        <v>0.1</v>
      </c>
      <c r="C26" t="s">
        <v>37</v>
      </c>
    </row>
    <row r="27" spans="1:3" x14ac:dyDescent="0.2">
      <c r="A27" s="25" t="s">
        <v>38</v>
      </c>
      <c r="B27" s="9">
        <f>B21*B26/1000</f>
        <v>-88.512616799061831</v>
      </c>
      <c r="C27" t="s">
        <v>39</v>
      </c>
    </row>
    <row r="28" spans="1:3" x14ac:dyDescent="0.2">
      <c r="A28" s="25" t="s">
        <v>40</v>
      </c>
      <c r="B28" s="4">
        <f>B27*B23*B25*365</f>
        <v>-736601.99700179254</v>
      </c>
      <c r="C28" t="s">
        <v>41</v>
      </c>
    </row>
    <row r="29" spans="1:3" x14ac:dyDescent="0.2">
      <c r="A29" s="23"/>
      <c r="B29" s="4"/>
    </row>
    <row r="30" spans="1:3" x14ac:dyDescent="0.2">
      <c r="A30" s="27" t="s">
        <v>99</v>
      </c>
      <c r="B30" s="4"/>
    </row>
    <row r="31" spans="1:3" x14ac:dyDescent="0.2">
      <c r="A31" s="28" t="s">
        <v>42</v>
      </c>
      <c r="B31" s="7">
        <v>2800</v>
      </c>
      <c r="C31" t="s">
        <v>14</v>
      </c>
    </row>
    <row r="32" spans="1:3" x14ac:dyDescent="0.2">
      <c r="A32" s="28" t="s">
        <v>43</v>
      </c>
      <c r="B32" s="7">
        <v>37000</v>
      </c>
      <c r="C32" t="s">
        <v>44</v>
      </c>
    </row>
    <row r="33" spans="1:3" x14ac:dyDescent="0.2">
      <c r="A33" s="28" t="s">
        <v>45</v>
      </c>
      <c r="B33" s="3">
        <f>B31*325</f>
        <v>910000</v>
      </c>
      <c r="C33" t="s">
        <v>9</v>
      </c>
    </row>
    <row r="34" spans="1:3" x14ac:dyDescent="0.2">
      <c r="A34" s="28" t="s">
        <v>15</v>
      </c>
      <c r="B34" s="4">
        <v>325851</v>
      </c>
      <c r="C34" t="s">
        <v>16</v>
      </c>
    </row>
    <row r="35" spans="1:3" x14ac:dyDescent="0.2">
      <c r="A35" s="28" t="s">
        <v>46</v>
      </c>
      <c r="B35" s="7">
        <v>24</v>
      </c>
      <c r="C35" t="s">
        <v>33</v>
      </c>
    </row>
    <row r="36" spans="1:3" x14ac:dyDescent="0.2">
      <c r="A36" s="28" t="s">
        <v>47</v>
      </c>
      <c r="B36" s="5">
        <f>B31*B34/B35/60</f>
        <v>633599.16666666663</v>
      </c>
      <c r="C36" t="s">
        <v>18</v>
      </c>
    </row>
    <row r="37" spans="1:3" hidden="1" x14ac:dyDescent="0.2">
      <c r="A37" s="28" t="s">
        <v>15</v>
      </c>
      <c r="B37" s="5">
        <v>1233.489</v>
      </c>
      <c r="C37" t="s">
        <v>19</v>
      </c>
    </row>
    <row r="38" spans="1:3" x14ac:dyDescent="0.2">
      <c r="A38" s="28" t="s">
        <v>20</v>
      </c>
      <c r="B38" s="6">
        <f>B31*B37/B35/60/60</f>
        <v>39.974180555555563</v>
      </c>
      <c r="C38" t="s">
        <v>21</v>
      </c>
    </row>
    <row r="39" spans="1:3" x14ac:dyDescent="0.2">
      <c r="A39" s="28" t="s">
        <v>48</v>
      </c>
      <c r="B39" s="7">
        <v>1020</v>
      </c>
      <c r="C39" t="s">
        <v>23</v>
      </c>
    </row>
    <row r="40" spans="1:3" x14ac:dyDescent="0.2">
      <c r="A40" s="28" t="s">
        <v>24</v>
      </c>
      <c r="B40">
        <v>9.8066499999999994</v>
      </c>
      <c r="C40" t="s">
        <v>25</v>
      </c>
    </row>
    <row r="41" spans="1:3" x14ac:dyDescent="0.2">
      <c r="A41" s="28" t="s">
        <v>49</v>
      </c>
      <c r="B41" s="8">
        <f xml:space="preserve"> B3</f>
        <v>305</v>
      </c>
      <c r="C41" t="s">
        <v>1</v>
      </c>
    </row>
    <row r="42" spans="1:3" x14ac:dyDescent="0.2">
      <c r="A42" s="28" t="s">
        <v>49</v>
      </c>
      <c r="B42" s="9">
        <f>B41*0.3048</f>
        <v>92.963999999999999</v>
      </c>
      <c r="C42" t="s">
        <v>27</v>
      </c>
    </row>
    <row r="43" spans="1:3" x14ac:dyDescent="0.2">
      <c r="A43" s="28" t="s">
        <v>50</v>
      </c>
      <c r="B43" s="10">
        <v>0.85</v>
      </c>
      <c r="C43" t="s">
        <v>51</v>
      </c>
    </row>
    <row r="44" spans="1:3" x14ac:dyDescent="0.2">
      <c r="A44" s="28" t="s">
        <v>52</v>
      </c>
      <c r="B44" s="10">
        <v>0.92</v>
      </c>
    </row>
    <row r="45" spans="1:3" x14ac:dyDescent="0.2">
      <c r="A45" s="28" t="s">
        <v>53</v>
      </c>
      <c r="B45" s="10">
        <v>0.97</v>
      </c>
    </row>
    <row r="46" spans="1:3" x14ac:dyDescent="0.2">
      <c r="A46" s="28" t="s">
        <v>54</v>
      </c>
      <c r="B46" s="15">
        <f>B43*B44*B45</f>
        <v>0.75853999999999999</v>
      </c>
    </row>
    <row r="47" spans="1:3" x14ac:dyDescent="0.2">
      <c r="A47" s="28" t="s">
        <v>55</v>
      </c>
      <c r="B47" s="5">
        <f>B39*B40*B42*B38/B46</f>
        <v>49004586.817004606</v>
      </c>
      <c r="C47" t="s">
        <v>30</v>
      </c>
    </row>
    <row r="48" spans="1:3" x14ac:dyDescent="0.2">
      <c r="A48" s="28" t="s">
        <v>55</v>
      </c>
      <c r="B48" s="16">
        <f>B47/1000/1000</f>
        <v>49.004586817004608</v>
      </c>
      <c r="C48" t="s">
        <v>56</v>
      </c>
    </row>
    <row r="49" spans="1:4" x14ac:dyDescent="0.2">
      <c r="A49" s="28" t="s">
        <v>57</v>
      </c>
      <c r="B49" s="17">
        <v>0.1</v>
      </c>
      <c r="C49" t="s">
        <v>37</v>
      </c>
    </row>
    <row r="50" spans="1:4" x14ac:dyDescent="0.2">
      <c r="A50" s="28" t="s">
        <v>58</v>
      </c>
      <c r="B50" s="9">
        <f>B47*B49/1000</f>
        <v>4900.4586817004611</v>
      </c>
      <c r="C50" t="s">
        <v>39</v>
      </c>
    </row>
    <row r="51" spans="1:4" x14ac:dyDescent="0.2">
      <c r="A51" s="28" t="s">
        <v>59</v>
      </c>
      <c r="B51" s="4">
        <f>B50*B35*365</f>
        <v>42928018.05169604</v>
      </c>
      <c r="C51" t="s">
        <v>41</v>
      </c>
    </row>
    <row r="52" spans="1:4" x14ac:dyDescent="0.2">
      <c r="A52" s="23"/>
      <c r="B52" s="4"/>
    </row>
    <row r="53" spans="1:4" x14ac:dyDescent="0.2">
      <c r="A53" s="29" t="s">
        <v>100</v>
      </c>
      <c r="B53" s="4"/>
    </row>
    <row r="54" spans="1:4" x14ac:dyDescent="0.2">
      <c r="A54" s="33" t="s">
        <v>102</v>
      </c>
      <c r="B54" s="4">
        <v>52.5</v>
      </c>
      <c r="C54" t="s">
        <v>1</v>
      </c>
    </row>
    <row r="55" spans="1:4" x14ac:dyDescent="0.2">
      <c r="A55" s="24" t="s">
        <v>60</v>
      </c>
      <c r="B55" s="3">
        <f>B33+B10</f>
        <v>884507.5</v>
      </c>
      <c r="C55" t="s">
        <v>9</v>
      </c>
    </row>
    <row r="56" spans="1:4" x14ac:dyDescent="0.2">
      <c r="A56" s="24" t="s">
        <v>61</v>
      </c>
      <c r="B56" s="3">
        <f>B55/325</f>
        <v>2721.5615384615385</v>
      </c>
      <c r="C56" t="s">
        <v>14</v>
      </c>
      <c r="D56" s="4">
        <f>B56*365</f>
        <v>993369.9615384615</v>
      </c>
    </row>
    <row r="57" spans="1:4" x14ac:dyDescent="0.2">
      <c r="A57" s="24" t="s">
        <v>15</v>
      </c>
      <c r="B57" s="2">
        <v>325853.38368799997</v>
      </c>
      <c r="C57" t="s">
        <v>16</v>
      </c>
    </row>
    <row r="58" spans="1:4" x14ac:dyDescent="0.2">
      <c r="A58" s="24" t="s">
        <v>62</v>
      </c>
      <c r="B58" s="5">
        <f>B56*B57/B72/60</f>
        <v>615854.1918213967</v>
      </c>
      <c r="C58" t="s">
        <v>18</v>
      </c>
    </row>
    <row r="59" spans="1:4" x14ac:dyDescent="0.2">
      <c r="A59" s="24" t="s">
        <v>15</v>
      </c>
      <c r="B59" s="5">
        <v>1233.489</v>
      </c>
      <c r="C59" t="s">
        <v>19</v>
      </c>
    </row>
    <row r="60" spans="1:4" x14ac:dyDescent="0.2">
      <c r="A60" s="24" t="s">
        <v>20</v>
      </c>
      <c r="B60" s="6">
        <f>B56*B59/B72/60/60</f>
        <v>38.854354404113245</v>
      </c>
      <c r="C60" t="s">
        <v>21</v>
      </c>
    </row>
    <row r="61" spans="1:4" x14ac:dyDescent="0.2">
      <c r="A61" s="24" t="s">
        <v>48</v>
      </c>
      <c r="B61" s="7">
        <v>1020</v>
      </c>
      <c r="C61" t="s">
        <v>23</v>
      </c>
    </row>
    <row r="62" spans="1:4" x14ac:dyDescent="0.2">
      <c r="A62" s="24" t="s">
        <v>24</v>
      </c>
      <c r="B62">
        <v>9.8066499999999994</v>
      </c>
      <c r="C62" t="s">
        <v>25</v>
      </c>
    </row>
    <row r="63" spans="1:4" x14ac:dyDescent="0.2">
      <c r="A63" s="24" t="s">
        <v>26</v>
      </c>
      <c r="B63" s="8">
        <f xml:space="preserve"> B3 +238.5-B54</f>
        <v>491</v>
      </c>
      <c r="C63" t="s">
        <v>1</v>
      </c>
    </row>
    <row r="64" spans="1:4" x14ac:dyDescent="0.2">
      <c r="A64" s="24" t="s">
        <v>26</v>
      </c>
      <c r="B64" s="9">
        <f>B63*0.3048</f>
        <v>149.6568</v>
      </c>
      <c r="C64" t="s">
        <v>27</v>
      </c>
    </row>
    <row r="65" spans="1:3" x14ac:dyDescent="0.2">
      <c r="A65" s="24" t="s">
        <v>28</v>
      </c>
      <c r="B65" s="10">
        <v>0.85</v>
      </c>
    </row>
    <row r="66" spans="1:3" x14ac:dyDescent="0.2">
      <c r="A66" s="24" t="s">
        <v>52</v>
      </c>
      <c r="B66" s="10">
        <v>0.92</v>
      </c>
    </row>
    <row r="67" spans="1:3" x14ac:dyDescent="0.2">
      <c r="A67" s="24" t="s">
        <v>53</v>
      </c>
      <c r="B67" s="10">
        <v>0.97</v>
      </c>
    </row>
    <row r="68" spans="1:3" x14ac:dyDescent="0.2">
      <c r="A68" s="24" t="s">
        <v>54</v>
      </c>
      <c r="B68" s="15">
        <f>B65*B66*B67</f>
        <v>0.75853999999999999</v>
      </c>
    </row>
    <row r="69" spans="1:3" x14ac:dyDescent="0.2">
      <c r="A69" s="24" t="s">
        <v>29</v>
      </c>
      <c r="B69" s="5">
        <f>B68*B61*B62*B64*B60</f>
        <v>44119998.262489498</v>
      </c>
      <c r="C69" t="s">
        <v>30</v>
      </c>
    </row>
    <row r="70" spans="1:3" x14ac:dyDescent="0.2">
      <c r="A70" s="24" t="s">
        <v>29</v>
      </c>
      <c r="B70" s="18">
        <f>B69/1000/1000</f>
        <v>44.119998262489496</v>
      </c>
      <c r="C70" t="s">
        <v>56</v>
      </c>
    </row>
    <row r="71" spans="1:3" x14ac:dyDescent="0.2">
      <c r="A71" s="24" t="s">
        <v>31</v>
      </c>
      <c r="B71" s="11">
        <f>B69/(B61*B62*B64*B65)</f>
        <v>34.673625870230666</v>
      </c>
      <c r="C71" t="s">
        <v>21</v>
      </c>
    </row>
    <row r="72" spans="1:3" x14ac:dyDescent="0.2">
      <c r="A72" s="24" t="s">
        <v>63</v>
      </c>
      <c r="B72" s="7">
        <v>24</v>
      </c>
      <c r="C72" t="s">
        <v>33</v>
      </c>
    </row>
    <row r="73" spans="1:3" x14ac:dyDescent="0.2">
      <c r="A73" s="24" t="s">
        <v>34</v>
      </c>
      <c r="B73" s="19">
        <f>B71/(B59/B72/60/60)</f>
        <v>2428.7215169230772</v>
      </c>
      <c r="C73" t="s">
        <v>14</v>
      </c>
    </row>
    <row r="74" spans="1:3" x14ac:dyDescent="0.2">
      <c r="A74" s="24" t="s">
        <v>35</v>
      </c>
      <c r="B74" s="10">
        <v>0.95</v>
      </c>
    </row>
    <row r="75" spans="1:3" x14ac:dyDescent="0.2">
      <c r="A75" s="24" t="s">
        <v>64</v>
      </c>
      <c r="B75" s="14">
        <v>8.5000000000000006E-2</v>
      </c>
      <c r="C75" t="s">
        <v>37</v>
      </c>
    </row>
    <row r="76" spans="1:3" x14ac:dyDescent="0.2">
      <c r="A76" s="24" t="s">
        <v>65</v>
      </c>
      <c r="B76" s="4">
        <f>B69*B75/1000</f>
        <v>3750.1998523116076</v>
      </c>
      <c r="C76" t="s">
        <v>39</v>
      </c>
    </row>
    <row r="77" spans="1:3" x14ac:dyDescent="0.2">
      <c r="A77" s="24" t="s">
        <v>66</v>
      </c>
      <c r="B77" s="4">
        <f>B76*B72*B74*365</f>
        <v>31209163.170937199</v>
      </c>
      <c r="C77" t="s">
        <v>41</v>
      </c>
    </row>
    <row r="78" spans="1:3" x14ac:dyDescent="0.2">
      <c r="A78" s="24" t="s">
        <v>67</v>
      </c>
      <c r="B78" s="20">
        <f>B70-B48</f>
        <v>-4.884588554515112</v>
      </c>
      <c r="C78" t="s">
        <v>56</v>
      </c>
    </row>
    <row r="79" spans="1:3" x14ac:dyDescent="0.2">
      <c r="B79" s="4"/>
    </row>
    <row r="80" spans="1:3" x14ac:dyDescent="0.2">
      <c r="A80" s="30" t="s">
        <v>101</v>
      </c>
      <c r="B80" s="4"/>
    </row>
    <row r="81" spans="1:3" x14ac:dyDescent="0.2">
      <c r="A81" s="31" t="s">
        <v>68</v>
      </c>
      <c r="B81" s="7">
        <v>2400</v>
      </c>
      <c r="C81" t="s">
        <v>69</v>
      </c>
    </row>
    <row r="82" spans="1:3" x14ac:dyDescent="0.2">
      <c r="A82" s="31" t="s">
        <v>70</v>
      </c>
      <c r="B82" s="3">
        <f>B81*(B69)/1000</f>
        <v>105887995.82997479</v>
      </c>
      <c r="C82" t="s">
        <v>71</v>
      </c>
    </row>
    <row r="83" spans="1:3" x14ac:dyDescent="0.2">
      <c r="A83" s="31" t="s">
        <v>72</v>
      </c>
      <c r="B83" s="21">
        <v>25</v>
      </c>
      <c r="C83" t="s">
        <v>73</v>
      </c>
    </row>
    <row r="84" spans="1:3" x14ac:dyDescent="0.2">
      <c r="A84" s="31" t="s">
        <v>74</v>
      </c>
      <c r="B84" s="17">
        <v>100</v>
      </c>
      <c r="C84" t="s">
        <v>69</v>
      </c>
    </row>
    <row r="85" spans="1:3" x14ac:dyDescent="0.2">
      <c r="A85" s="31" t="s">
        <v>75</v>
      </c>
      <c r="B85" s="3">
        <f>B84+(B82/B83)</f>
        <v>4235619.8331989916</v>
      </c>
      <c r="C85" t="s">
        <v>41</v>
      </c>
    </row>
    <row r="86" spans="1:3" x14ac:dyDescent="0.2">
      <c r="A86" s="31" t="s">
        <v>76</v>
      </c>
      <c r="B86" s="7">
        <v>1000</v>
      </c>
      <c r="C86" t="s">
        <v>69</v>
      </c>
    </row>
    <row r="87" spans="1:3" x14ac:dyDescent="0.2">
      <c r="A87" s="31" t="s">
        <v>77</v>
      </c>
      <c r="B87" s="3">
        <f>B86*B69/1000</f>
        <v>44119998.262489498</v>
      </c>
      <c r="C87" t="s">
        <v>71</v>
      </c>
    </row>
    <row r="88" spans="1:3" x14ac:dyDescent="0.2">
      <c r="A88" s="31" t="s">
        <v>78</v>
      </c>
      <c r="B88" s="21">
        <v>50</v>
      </c>
      <c r="C88" t="s">
        <v>73</v>
      </c>
    </row>
    <row r="89" spans="1:3" x14ac:dyDescent="0.2">
      <c r="A89" s="31" t="s">
        <v>79</v>
      </c>
      <c r="B89" s="17">
        <v>3</v>
      </c>
      <c r="C89" t="s">
        <v>69</v>
      </c>
    </row>
    <row r="90" spans="1:3" x14ac:dyDescent="0.2">
      <c r="A90" s="31" t="s">
        <v>80</v>
      </c>
      <c r="B90" s="3">
        <f>B89+(B87/B88)</f>
        <v>882402.96524979</v>
      </c>
      <c r="C90" t="s">
        <v>41</v>
      </c>
    </row>
    <row r="91" spans="1:3" x14ac:dyDescent="0.2">
      <c r="A91" s="31" t="s">
        <v>81</v>
      </c>
      <c r="B91" s="17">
        <v>1.69</v>
      </c>
      <c r="C91" t="s">
        <v>82</v>
      </c>
    </row>
    <row r="92" spans="1:3" x14ac:dyDescent="0.2">
      <c r="A92" s="31" t="s">
        <v>81</v>
      </c>
      <c r="B92" s="22">
        <f>B91/30/B23</f>
        <v>2.3472222222222223E-3</v>
      </c>
      <c r="C92" t="s">
        <v>37</v>
      </c>
    </row>
    <row r="93" spans="1:3" x14ac:dyDescent="0.2">
      <c r="A93" s="31" t="s">
        <v>83</v>
      </c>
      <c r="B93" s="3">
        <f>B91*12*(B69/1000)</f>
        <v>894753.56476328708</v>
      </c>
      <c r="C93" t="s">
        <v>41</v>
      </c>
    </row>
    <row r="94" spans="1:3" x14ac:dyDescent="0.2">
      <c r="A94" s="31" t="s">
        <v>84</v>
      </c>
      <c r="B94" s="7">
        <v>2400</v>
      </c>
      <c r="C94" t="s">
        <v>69</v>
      </c>
    </row>
    <row r="95" spans="1:3" x14ac:dyDescent="0.2">
      <c r="A95" s="31" t="s">
        <v>85</v>
      </c>
      <c r="B95" s="3">
        <f>B94*(B47)/1000</f>
        <v>117611008.36081105</v>
      </c>
      <c r="C95" t="s">
        <v>71</v>
      </c>
    </row>
    <row r="96" spans="1:3" x14ac:dyDescent="0.2">
      <c r="A96" s="31" t="s">
        <v>86</v>
      </c>
      <c r="B96" s="21">
        <v>25</v>
      </c>
      <c r="C96" t="s">
        <v>73</v>
      </c>
    </row>
    <row r="97" spans="1:3" x14ac:dyDescent="0.2">
      <c r="A97" s="31" t="s">
        <v>87</v>
      </c>
      <c r="B97" s="17">
        <v>100</v>
      </c>
      <c r="C97" t="s">
        <v>69</v>
      </c>
    </row>
    <row r="98" spans="1:3" x14ac:dyDescent="0.2">
      <c r="A98" s="31" t="s">
        <v>88</v>
      </c>
      <c r="B98" s="3">
        <f>B97+(B95/B96)</f>
        <v>4704540.3344324417</v>
      </c>
      <c r="C98" t="s">
        <v>41</v>
      </c>
    </row>
    <row r="99" spans="1:3" x14ac:dyDescent="0.2">
      <c r="A99" s="31" t="s">
        <v>89</v>
      </c>
      <c r="B99" s="7">
        <v>1000</v>
      </c>
      <c r="C99" t="s">
        <v>90</v>
      </c>
    </row>
    <row r="100" spans="1:3" x14ac:dyDescent="0.2">
      <c r="A100" s="31" t="s">
        <v>91</v>
      </c>
      <c r="B100" s="3">
        <f>B99*B58/1000</f>
        <v>615854.1918213967</v>
      </c>
      <c r="C100" t="s">
        <v>71</v>
      </c>
    </row>
    <row r="101" spans="1:3" x14ac:dyDescent="0.2">
      <c r="A101" s="31" t="s">
        <v>92</v>
      </c>
      <c r="B101" s="21">
        <v>15</v>
      </c>
      <c r="C101" t="s">
        <v>73</v>
      </c>
    </row>
    <row r="102" spans="1:3" x14ac:dyDescent="0.2">
      <c r="A102" s="31" t="s">
        <v>93</v>
      </c>
      <c r="B102" s="17">
        <v>100</v>
      </c>
      <c r="C102" t="s">
        <v>90</v>
      </c>
    </row>
    <row r="103" spans="1:3" x14ac:dyDescent="0.2">
      <c r="A103" s="31" t="s">
        <v>94</v>
      </c>
      <c r="B103" s="3">
        <f>B102+(B100/B101)</f>
        <v>41156.946121426445</v>
      </c>
      <c r="C103" t="s">
        <v>41</v>
      </c>
    </row>
    <row r="104" spans="1:3" x14ac:dyDescent="0.2">
      <c r="A104" s="31" t="s">
        <v>95</v>
      </c>
      <c r="B104" s="4">
        <f>SUM(B85,B90,B93,B98,B103)</f>
        <v>10758473.643765936</v>
      </c>
      <c r="C104" t="s">
        <v>41</v>
      </c>
    </row>
    <row r="105" spans="1:3" x14ac:dyDescent="0.2">
      <c r="A105" s="31"/>
    </row>
    <row r="106" spans="1:3" x14ac:dyDescent="0.2">
      <c r="A106" s="31" t="s">
        <v>96</v>
      </c>
      <c r="B106" s="32">
        <f>B28+B77-B51-B104</f>
        <v>-23213930.521526568</v>
      </c>
      <c r="C106" t="s">
        <v>41</v>
      </c>
    </row>
    <row r="108" spans="1:3" x14ac:dyDescent="0.2">
      <c r="A108" t="s">
        <v>97</v>
      </c>
      <c r="B108" s="32">
        <f>SUM(B82,B87,B95,B100)</f>
        <v>268234856.64509672</v>
      </c>
    </row>
  </sheetData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 r:id="rId1"/>
  <headerFooter alignWithMargins="0">
    <oddHeader>&amp;LDust Elimination Hydro Power Ponds&amp;RNew River Total Flow to Ponds then to Salton Sea</oddHeader>
    <oddFooter>&amp;LSea to Sea Team&amp;CCopyright 2011 Sephton Water Technology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zoomScale="110" zoomScaleNormal="110" workbookViewId="0">
      <selection activeCell="B1" sqref="B1"/>
    </sheetView>
  </sheetViews>
  <sheetFormatPr defaultRowHeight="12.75" x14ac:dyDescent="0.2"/>
  <cols>
    <col min="1" max="1" width="34" customWidth="1"/>
    <col min="2" max="2" width="17" customWidth="1"/>
    <col min="3" max="3" width="11.140625" customWidth="1"/>
  </cols>
  <sheetData>
    <row r="1" spans="1:8" x14ac:dyDescent="0.2">
      <c r="A1" s="26" t="s">
        <v>98</v>
      </c>
    </row>
    <row r="2" spans="1:8" x14ac:dyDescent="0.2">
      <c r="A2" s="25" t="s">
        <v>0</v>
      </c>
      <c r="B2" s="1">
        <v>30</v>
      </c>
      <c r="C2" t="s">
        <v>1</v>
      </c>
    </row>
    <row r="3" spans="1:8" x14ac:dyDescent="0.2">
      <c r="A3" s="25" t="s">
        <v>2</v>
      </c>
      <c r="B3" s="1">
        <v>185</v>
      </c>
      <c r="C3" t="s">
        <v>1</v>
      </c>
    </row>
    <row r="4" spans="1:8" x14ac:dyDescent="0.2">
      <c r="A4" s="25" t="s">
        <v>3</v>
      </c>
      <c r="B4" s="1">
        <v>12</v>
      </c>
      <c r="C4" t="s">
        <v>1</v>
      </c>
    </row>
    <row r="5" spans="1:8" x14ac:dyDescent="0.2">
      <c r="A5" s="25" t="s">
        <v>4</v>
      </c>
      <c r="B5" s="1">
        <v>167</v>
      </c>
      <c r="C5" t="s">
        <v>5</v>
      </c>
    </row>
    <row r="6" spans="1:8" x14ac:dyDescent="0.2">
      <c r="A6" s="25" t="s">
        <v>4</v>
      </c>
      <c r="B6" s="2">
        <f>B5*5280</f>
        <v>881760</v>
      </c>
      <c r="C6" t="s">
        <v>1</v>
      </c>
    </row>
    <row r="7" spans="1:8" x14ac:dyDescent="0.2">
      <c r="A7" s="25" t="s">
        <v>6</v>
      </c>
      <c r="B7" s="2">
        <f>B2*B4*B5</f>
        <v>60120</v>
      </c>
      <c r="C7" t="s">
        <v>7</v>
      </c>
    </row>
    <row r="8" spans="1:8" x14ac:dyDescent="0.2">
      <c r="A8" s="25" t="s">
        <v>8</v>
      </c>
      <c r="B8" s="2">
        <f>3/12*B2</f>
        <v>7.5</v>
      </c>
      <c r="C8" t="s">
        <v>9</v>
      </c>
      <c r="E8" s="3"/>
      <c r="H8" s="3"/>
    </row>
    <row r="9" spans="1:8" x14ac:dyDescent="0.2">
      <c r="A9" s="25" t="s">
        <v>10</v>
      </c>
      <c r="B9" s="3">
        <v>68</v>
      </c>
      <c r="C9" t="s">
        <v>11</v>
      </c>
    </row>
    <row r="10" spans="1:8" x14ac:dyDescent="0.2">
      <c r="A10" s="25" t="s">
        <v>12</v>
      </c>
      <c r="B10" s="3">
        <f>B8-(B2*B5*B9/12)</f>
        <v>-28382.5</v>
      </c>
      <c r="C10" t="s">
        <v>9</v>
      </c>
    </row>
    <row r="11" spans="1:8" x14ac:dyDescent="0.2">
      <c r="A11" s="25" t="s">
        <v>13</v>
      </c>
      <c r="B11" s="2">
        <f>B10/325</f>
        <v>-87.330769230769235</v>
      </c>
      <c r="C11" t="s">
        <v>14</v>
      </c>
    </row>
    <row r="12" spans="1:8" hidden="1" x14ac:dyDescent="0.2">
      <c r="A12" s="25" t="s">
        <v>15</v>
      </c>
      <c r="B12" s="4">
        <v>325851</v>
      </c>
      <c r="C12" t="s">
        <v>16</v>
      </c>
    </row>
    <row r="13" spans="1:8" x14ac:dyDescent="0.2">
      <c r="A13" s="25" t="s">
        <v>17</v>
      </c>
      <c r="B13" s="5">
        <f>B11*B12/B23/60</f>
        <v>-19761.679503205127</v>
      </c>
      <c r="C13" t="s">
        <v>18</v>
      </c>
    </row>
    <row r="14" spans="1:8" hidden="1" x14ac:dyDescent="0.2">
      <c r="A14" s="25" t="s">
        <v>15</v>
      </c>
      <c r="B14" s="5">
        <v>1233.489</v>
      </c>
      <c r="C14" t="s">
        <v>19</v>
      </c>
    </row>
    <row r="15" spans="1:8" hidden="1" x14ac:dyDescent="0.2">
      <c r="A15" s="25" t="s">
        <v>20</v>
      </c>
      <c r="B15" s="6">
        <f>B11*B14/B23/60/60</f>
        <v>-1.2467771204594018</v>
      </c>
      <c r="C15" t="s">
        <v>21</v>
      </c>
    </row>
    <row r="16" spans="1:8" hidden="1" x14ac:dyDescent="0.2">
      <c r="A16" s="25" t="s">
        <v>22</v>
      </c>
      <c r="B16" s="7">
        <v>1020</v>
      </c>
      <c r="C16" t="s">
        <v>23</v>
      </c>
    </row>
    <row r="17" spans="1:3" hidden="1" x14ac:dyDescent="0.2">
      <c r="A17" s="25" t="s">
        <v>24</v>
      </c>
      <c r="B17">
        <v>9.8066499999999994</v>
      </c>
      <c r="C17" t="s">
        <v>25</v>
      </c>
    </row>
    <row r="18" spans="1:3" hidden="1" x14ac:dyDescent="0.2">
      <c r="A18" s="25" t="s">
        <v>26</v>
      </c>
      <c r="B18" s="8">
        <f xml:space="preserve"> B3</f>
        <v>185</v>
      </c>
      <c r="C18" t="s">
        <v>1</v>
      </c>
    </row>
    <row r="19" spans="1:3" hidden="1" x14ac:dyDescent="0.2">
      <c r="A19" s="25" t="s">
        <v>26</v>
      </c>
      <c r="B19" s="9">
        <f>B18*0.3048</f>
        <v>56.388000000000005</v>
      </c>
      <c r="C19" t="s">
        <v>27</v>
      </c>
    </row>
    <row r="20" spans="1:3" hidden="1" x14ac:dyDescent="0.2">
      <c r="A20" s="25" t="s">
        <v>28</v>
      </c>
      <c r="B20" s="10">
        <v>0.85</v>
      </c>
    </row>
    <row r="21" spans="1:3" hidden="1" x14ac:dyDescent="0.2">
      <c r="A21" s="25" t="s">
        <v>29</v>
      </c>
      <c r="B21" s="5">
        <f>B20*B16*B17*B19*B15</f>
        <v>-597744.08617820276</v>
      </c>
      <c r="C21" t="s">
        <v>30</v>
      </c>
    </row>
    <row r="22" spans="1:3" hidden="1" x14ac:dyDescent="0.2">
      <c r="A22" s="25" t="s">
        <v>31</v>
      </c>
      <c r="B22" s="11">
        <f>B21/(B16*B17*B19*B20)</f>
        <v>-1.2467771204594018</v>
      </c>
      <c r="C22" t="s">
        <v>21</v>
      </c>
    </row>
    <row r="23" spans="1:3" hidden="1" x14ac:dyDescent="0.2">
      <c r="A23" s="25" t="s">
        <v>32</v>
      </c>
      <c r="B23" s="7">
        <v>24</v>
      </c>
      <c r="C23" t="s">
        <v>33</v>
      </c>
    </row>
    <row r="24" spans="1:3" hidden="1" x14ac:dyDescent="0.2">
      <c r="A24" s="25" t="s">
        <v>34</v>
      </c>
      <c r="B24" s="12">
        <f>B22/(B14/B23/60/60)</f>
        <v>-87.330769230769235</v>
      </c>
      <c r="C24" t="s">
        <v>14</v>
      </c>
    </row>
    <row r="25" spans="1:3" hidden="1" x14ac:dyDescent="0.2">
      <c r="A25" s="25" t="s">
        <v>35</v>
      </c>
      <c r="B25" s="13">
        <v>0.95</v>
      </c>
    </row>
    <row r="26" spans="1:3" hidden="1" x14ac:dyDescent="0.2">
      <c r="A26" s="25" t="s">
        <v>36</v>
      </c>
      <c r="B26" s="14">
        <v>0.1</v>
      </c>
      <c r="C26" t="s">
        <v>37</v>
      </c>
    </row>
    <row r="27" spans="1:3" x14ac:dyDescent="0.2">
      <c r="A27" s="25" t="s">
        <v>38</v>
      </c>
      <c r="B27" s="9">
        <f>B21*B26/1000</f>
        <v>-59.774408617820278</v>
      </c>
      <c r="C27" t="s">
        <v>39</v>
      </c>
    </row>
    <row r="28" spans="1:3" x14ac:dyDescent="0.2">
      <c r="A28" s="25" t="s">
        <v>40</v>
      </c>
      <c r="B28" s="4">
        <f>B27*B23*B25*365</f>
        <v>-497442.62851750036</v>
      </c>
      <c r="C28" t="s">
        <v>41</v>
      </c>
    </row>
    <row r="29" spans="1:3" x14ac:dyDescent="0.2">
      <c r="A29" s="23"/>
      <c r="B29" s="4"/>
    </row>
    <row r="30" spans="1:3" x14ac:dyDescent="0.2">
      <c r="A30" s="27" t="s">
        <v>99</v>
      </c>
      <c r="B30" s="4"/>
    </row>
    <row r="31" spans="1:3" x14ac:dyDescent="0.2">
      <c r="A31" s="28" t="s">
        <v>42</v>
      </c>
      <c r="B31" s="7">
        <v>2800</v>
      </c>
      <c r="C31" t="s">
        <v>14</v>
      </c>
    </row>
    <row r="32" spans="1:3" x14ac:dyDescent="0.2">
      <c r="A32" s="28" t="s">
        <v>43</v>
      </c>
      <c r="B32" s="7">
        <v>37000</v>
      </c>
      <c r="C32" t="s">
        <v>44</v>
      </c>
    </row>
    <row r="33" spans="1:3" x14ac:dyDescent="0.2">
      <c r="A33" s="28" t="s">
        <v>45</v>
      </c>
      <c r="B33" s="3">
        <f>B31*325</f>
        <v>910000</v>
      </c>
      <c r="C33" t="s">
        <v>9</v>
      </c>
    </row>
    <row r="34" spans="1:3" hidden="1" x14ac:dyDescent="0.2">
      <c r="A34" s="28" t="s">
        <v>15</v>
      </c>
      <c r="B34" s="4">
        <v>325851</v>
      </c>
      <c r="C34" t="s">
        <v>16</v>
      </c>
    </row>
    <row r="35" spans="1:3" x14ac:dyDescent="0.2">
      <c r="A35" s="28" t="s">
        <v>46</v>
      </c>
      <c r="B35" s="7">
        <v>24</v>
      </c>
      <c r="C35" t="s">
        <v>33</v>
      </c>
    </row>
    <row r="36" spans="1:3" x14ac:dyDescent="0.2">
      <c r="A36" s="28" t="s">
        <v>47</v>
      </c>
      <c r="B36" s="5">
        <f>B31*B34/B35/60</f>
        <v>633599.16666666663</v>
      </c>
      <c r="C36" t="s">
        <v>18</v>
      </c>
    </row>
    <row r="37" spans="1:3" hidden="1" x14ac:dyDescent="0.2">
      <c r="A37" s="28" t="s">
        <v>15</v>
      </c>
      <c r="B37" s="5">
        <v>1233.489</v>
      </c>
      <c r="C37" t="s">
        <v>19</v>
      </c>
    </row>
    <row r="38" spans="1:3" x14ac:dyDescent="0.2">
      <c r="A38" s="28" t="s">
        <v>20</v>
      </c>
      <c r="B38" s="6">
        <f>B31*B37/B35/60/60</f>
        <v>39.974180555555563</v>
      </c>
      <c r="C38" t="s">
        <v>21</v>
      </c>
    </row>
    <row r="39" spans="1:3" x14ac:dyDescent="0.2">
      <c r="A39" s="28" t="s">
        <v>48</v>
      </c>
      <c r="B39" s="7">
        <v>1020</v>
      </c>
      <c r="C39" t="s">
        <v>23</v>
      </c>
    </row>
    <row r="40" spans="1:3" x14ac:dyDescent="0.2">
      <c r="A40" s="28" t="s">
        <v>24</v>
      </c>
      <c r="B40">
        <v>9.8066499999999994</v>
      </c>
      <c r="C40" t="s">
        <v>25</v>
      </c>
    </row>
    <row r="41" spans="1:3" x14ac:dyDescent="0.2">
      <c r="A41" s="28" t="s">
        <v>49</v>
      </c>
      <c r="B41" s="8">
        <f xml:space="preserve"> B3</f>
        <v>185</v>
      </c>
      <c r="C41" t="s">
        <v>1</v>
      </c>
    </row>
    <row r="42" spans="1:3" x14ac:dyDescent="0.2">
      <c r="A42" s="28" t="s">
        <v>49</v>
      </c>
      <c r="B42" s="9">
        <f>B41*0.3048</f>
        <v>56.388000000000005</v>
      </c>
      <c r="C42" t="s">
        <v>27</v>
      </c>
    </row>
    <row r="43" spans="1:3" x14ac:dyDescent="0.2">
      <c r="A43" s="28" t="s">
        <v>50</v>
      </c>
      <c r="B43" s="10">
        <v>0.85</v>
      </c>
      <c r="C43" t="s">
        <v>51</v>
      </c>
    </row>
    <row r="44" spans="1:3" x14ac:dyDescent="0.2">
      <c r="A44" s="28" t="s">
        <v>52</v>
      </c>
      <c r="B44" s="10">
        <v>0.92</v>
      </c>
    </row>
    <row r="45" spans="1:3" x14ac:dyDescent="0.2">
      <c r="A45" s="28" t="s">
        <v>53</v>
      </c>
      <c r="B45" s="10">
        <v>0.97</v>
      </c>
    </row>
    <row r="46" spans="1:3" x14ac:dyDescent="0.2">
      <c r="A46" s="28" t="s">
        <v>54</v>
      </c>
      <c r="B46" s="15">
        <f>B43*B44*B45</f>
        <v>0.75853999999999999</v>
      </c>
    </row>
    <row r="47" spans="1:3" x14ac:dyDescent="0.2">
      <c r="A47" s="28" t="s">
        <v>55</v>
      </c>
      <c r="B47" s="5">
        <f>B39*B40*B42*B38/B46</f>
        <v>29724093.643101159</v>
      </c>
      <c r="C47" t="s">
        <v>30</v>
      </c>
    </row>
    <row r="48" spans="1:3" x14ac:dyDescent="0.2">
      <c r="A48" s="28" t="s">
        <v>55</v>
      </c>
      <c r="B48" s="16">
        <f>B47/1000/1000</f>
        <v>29.724093643101156</v>
      </c>
      <c r="C48" t="s">
        <v>56</v>
      </c>
    </row>
    <row r="49" spans="1:4" x14ac:dyDescent="0.2">
      <c r="A49" s="28" t="s">
        <v>57</v>
      </c>
      <c r="B49" s="17">
        <v>0.1</v>
      </c>
      <c r="C49" t="s">
        <v>37</v>
      </c>
    </row>
    <row r="50" spans="1:4" x14ac:dyDescent="0.2">
      <c r="A50" s="28" t="s">
        <v>58</v>
      </c>
      <c r="B50" s="9">
        <f>B47*B49/1000</f>
        <v>2972.409364310116</v>
      </c>
      <c r="C50" t="s">
        <v>39</v>
      </c>
    </row>
    <row r="51" spans="1:4" x14ac:dyDescent="0.2">
      <c r="A51" s="28" t="s">
        <v>59</v>
      </c>
      <c r="B51" s="4">
        <f>B50*B35*365</f>
        <v>26038306.031356618</v>
      </c>
      <c r="C51" t="s">
        <v>41</v>
      </c>
    </row>
    <row r="52" spans="1:4" x14ac:dyDescent="0.2">
      <c r="A52" s="23"/>
      <c r="B52" s="4"/>
    </row>
    <row r="53" spans="1:4" x14ac:dyDescent="0.2">
      <c r="A53" s="29" t="s">
        <v>100</v>
      </c>
      <c r="B53" s="4"/>
    </row>
    <row r="54" spans="1:4" x14ac:dyDescent="0.2">
      <c r="A54" s="33" t="s">
        <v>102</v>
      </c>
      <c r="B54" s="4">
        <v>66</v>
      </c>
      <c r="C54" t="s">
        <v>1</v>
      </c>
    </row>
    <row r="55" spans="1:4" x14ac:dyDescent="0.2">
      <c r="A55" s="24" t="s">
        <v>60</v>
      </c>
      <c r="B55" s="3">
        <f>B33+B10</f>
        <v>881617.5</v>
      </c>
      <c r="C55" t="s">
        <v>9</v>
      </c>
    </row>
    <row r="56" spans="1:4" x14ac:dyDescent="0.2">
      <c r="A56" s="24" t="s">
        <v>61</v>
      </c>
      <c r="B56" s="3">
        <f>B55/325</f>
        <v>2712.6692307692306</v>
      </c>
      <c r="C56" t="s">
        <v>14</v>
      </c>
      <c r="D56" s="4">
        <f>B56*365</f>
        <v>990124.26923076913</v>
      </c>
    </row>
    <row r="57" spans="1:4" x14ac:dyDescent="0.2">
      <c r="A57" s="24" t="s">
        <v>15</v>
      </c>
      <c r="B57" s="2">
        <v>325853.38368799997</v>
      </c>
      <c r="C57" t="s">
        <v>16</v>
      </c>
    </row>
    <row r="58" spans="1:4" x14ac:dyDescent="0.2">
      <c r="A58" s="24" t="s">
        <v>62</v>
      </c>
      <c r="B58" s="5">
        <f>B56*B57/B72/60</f>
        <v>613841.97755033185</v>
      </c>
      <c r="C58" t="s">
        <v>18</v>
      </c>
    </row>
    <row r="59" spans="1:4" x14ac:dyDescent="0.2">
      <c r="A59" s="24" t="s">
        <v>15</v>
      </c>
      <c r="B59" s="5">
        <v>1233.489</v>
      </c>
      <c r="C59" t="s">
        <v>19</v>
      </c>
    </row>
    <row r="60" spans="1:4" x14ac:dyDescent="0.2">
      <c r="A60" s="24" t="s">
        <v>20</v>
      </c>
      <c r="B60" s="6">
        <f>B56*B59/B72/60/60</f>
        <v>38.72740343509615</v>
      </c>
      <c r="C60" t="s">
        <v>21</v>
      </c>
    </row>
    <row r="61" spans="1:4" x14ac:dyDescent="0.2">
      <c r="A61" s="24" t="s">
        <v>48</v>
      </c>
      <c r="B61" s="7">
        <v>1020</v>
      </c>
      <c r="C61" t="s">
        <v>23</v>
      </c>
    </row>
    <row r="62" spans="1:4" x14ac:dyDescent="0.2">
      <c r="A62" s="24" t="s">
        <v>24</v>
      </c>
      <c r="B62">
        <v>9.8066499999999994</v>
      </c>
      <c r="C62" t="s">
        <v>25</v>
      </c>
    </row>
    <row r="63" spans="1:4" x14ac:dyDescent="0.2">
      <c r="A63" s="24" t="s">
        <v>26</v>
      </c>
      <c r="B63" s="8">
        <f xml:space="preserve"> B3 +238.5-B54</f>
        <v>357.5</v>
      </c>
      <c r="C63" t="s">
        <v>1</v>
      </c>
    </row>
    <row r="64" spans="1:4" x14ac:dyDescent="0.2">
      <c r="A64" s="24" t="s">
        <v>26</v>
      </c>
      <c r="B64" s="9">
        <f>B63*0.3048</f>
        <v>108.96600000000001</v>
      </c>
      <c r="C64" t="s">
        <v>27</v>
      </c>
    </row>
    <row r="65" spans="1:3" x14ac:dyDescent="0.2">
      <c r="A65" s="24" t="s">
        <v>28</v>
      </c>
      <c r="B65" s="10">
        <v>0.85</v>
      </c>
    </row>
    <row r="66" spans="1:3" x14ac:dyDescent="0.2">
      <c r="A66" s="24" t="s">
        <v>52</v>
      </c>
      <c r="B66" s="10">
        <v>0.92</v>
      </c>
    </row>
    <row r="67" spans="1:3" x14ac:dyDescent="0.2">
      <c r="A67" s="24" t="s">
        <v>53</v>
      </c>
      <c r="B67" s="10">
        <v>0.97</v>
      </c>
    </row>
    <row r="68" spans="1:3" x14ac:dyDescent="0.2">
      <c r="A68" s="24" t="s">
        <v>54</v>
      </c>
      <c r="B68" s="15">
        <f>B65*B66*B67</f>
        <v>0.75853999999999999</v>
      </c>
    </row>
    <row r="69" spans="1:3" x14ac:dyDescent="0.2">
      <c r="A69" s="24" t="s">
        <v>29</v>
      </c>
      <c r="B69" s="5">
        <f>B68*B61*B62*B64*B60</f>
        <v>32019070.707204733</v>
      </c>
      <c r="C69" t="s">
        <v>30</v>
      </c>
    </row>
    <row r="70" spans="1:3" x14ac:dyDescent="0.2">
      <c r="A70" s="24" t="s">
        <v>29</v>
      </c>
      <c r="B70" s="18">
        <f>B69/1000/1000</f>
        <v>32.019070707204733</v>
      </c>
      <c r="C70" t="s">
        <v>56</v>
      </c>
    </row>
    <row r="71" spans="1:3" x14ac:dyDescent="0.2">
      <c r="A71" s="24" t="s">
        <v>31</v>
      </c>
      <c r="B71" s="11">
        <f>B69/(B61*B62*B64*B65)</f>
        <v>34.560334825479806</v>
      </c>
      <c r="C71" t="s">
        <v>21</v>
      </c>
    </row>
    <row r="72" spans="1:3" x14ac:dyDescent="0.2">
      <c r="A72" s="24" t="s">
        <v>63</v>
      </c>
      <c r="B72" s="7">
        <v>24</v>
      </c>
      <c r="C72" t="s">
        <v>33</v>
      </c>
    </row>
    <row r="73" spans="1:3" x14ac:dyDescent="0.2">
      <c r="A73" s="24" t="s">
        <v>34</v>
      </c>
      <c r="B73" s="19">
        <f>B71/(B59/B72/60/60)</f>
        <v>2420.7860215384612</v>
      </c>
      <c r="C73" t="s">
        <v>14</v>
      </c>
    </row>
    <row r="74" spans="1:3" x14ac:dyDescent="0.2">
      <c r="A74" s="24" t="s">
        <v>35</v>
      </c>
      <c r="B74" s="10">
        <v>0.95</v>
      </c>
    </row>
    <row r="75" spans="1:3" x14ac:dyDescent="0.2">
      <c r="A75" s="24" t="s">
        <v>64</v>
      </c>
      <c r="B75" s="14">
        <v>8.5000000000000006E-2</v>
      </c>
      <c r="C75" t="s">
        <v>37</v>
      </c>
    </row>
    <row r="76" spans="1:3" x14ac:dyDescent="0.2">
      <c r="A76" s="24" t="s">
        <v>65</v>
      </c>
      <c r="B76" s="4">
        <f>B69*B75/1000</f>
        <v>2721.6210101124025</v>
      </c>
      <c r="C76" t="s">
        <v>39</v>
      </c>
    </row>
    <row r="77" spans="1:3" x14ac:dyDescent="0.2">
      <c r="A77" s="24" t="s">
        <v>66</v>
      </c>
      <c r="B77" s="4">
        <f>B76*B72*B74*365</f>
        <v>22649330.046155412</v>
      </c>
      <c r="C77" t="s">
        <v>41</v>
      </c>
    </row>
    <row r="78" spans="1:3" x14ac:dyDescent="0.2">
      <c r="A78" s="24" t="s">
        <v>67</v>
      </c>
      <c r="B78" s="20">
        <f>B70-B48</f>
        <v>2.2949770641035769</v>
      </c>
      <c r="C78" t="s">
        <v>56</v>
      </c>
    </row>
    <row r="79" spans="1:3" x14ac:dyDescent="0.2">
      <c r="B79" s="4"/>
    </row>
    <row r="80" spans="1:3" x14ac:dyDescent="0.2">
      <c r="A80" s="30" t="s">
        <v>101</v>
      </c>
      <c r="B80" s="4"/>
    </row>
    <row r="81" spans="1:3" x14ac:dyDescent="0.2">
      <c r="A81" s="31" t="s">
        <v>68</v>
      </c>
      <c r="B81" s="7">
        <v>2400</v>
      </c>
      <c r="C81" t="s">
        <v>69</v>
      </c>
    </row>
    <row r="82" spans="1:3" x14ac:dyDescent="0.2">
      <c r="A82" s="31" t="s">
        <v>70</v>
      </c>
      <c r="B82" s="3">
        <f>B81*(B69)/1000</f>
        <v>76845769.697291359</v>
      </c>
      <c r="C82" t="s">
        <v>71</v>
      </c>
    </row>
    <row r="83" spans="1:3" x14ac:dyDescent="0.2">
      <c r="A83" s="31" t="s">
        <v>72</v>
      </c>
      <c r="B83" s="21">
        <v>25</v>
      </c>
      <c r="C83" t="s">
        <v>73</v>
      </c>
    </row>
    <row r="84" spans="1:3" x14ac:dyDescent="0.2">
      <c r="A84" s="31" t="s">
        <v>74</v>
      </c>
      <c r="B84" s="17">
        <v>100</v>
      </c>
      <c r="C84" t="s">
        <v>69</v>
      </c>
    </row>
    <row r="85" spans="1:3" x14ac:dyDescent="0.2">
      <c r="A85" s="31" t="s">
        <v>75</v>
      </c>
      <c r="B85" s="3">
        <f>B84+(B82/B83)</f>
        <v>3073930.7878916543</v>
      </c>
      <c r="C85" t="s">
        <v>41</v>
      </c>
    </row>
    <row r="86" spans="1:3" x14ac:dyDescent="0.2">
      <c r="A86" s="31" t="s">
        <v>76</v>
      </c>
      <c r="B86" s="7">
        <v>1000</v>
      </c>
      <c r="C86" t="s">
        <v>69</v>
      </c>
    </row>
    <row r="87" spans="1:3" x14ac:dyDescent="0.2">
      <c r="A87" s="31" t="s">
        <v>77</v>
      </c>
      <c r="B87" s="3">
        <f>B86*B69/1000</f>
        <v>32019070.707204733</v>
      </c>
      <c r="C87" t="s">
        <v>71</v>
      </c>
    </row>
    <row r="88" spans="1:3" x14ac:dyDescent="0.2">
      <c r="A88" s="31" t="s">
        <v>78</v>
      </c>
      <c r="B88" s="21">
        <v>50</v>
      </c>
      <c r="C88" t="s">
        <v>73</v>
      </c>
    </row>
    <row r="89" spans="1:3" x14ac:dyDescent="0.2">
      <c r="A89" s="31" t="s">
        <v>79</v>
      </c>
      <c r="B89" s="17">
        <v>3</v>
      </c>
      <c r="C89" t="s">
        <v>69</v>
      </c>
    </row>
    <row r="90" spans="1:3" x14ac:dyDescent="0.2">
      <c r="A90" s="31" t="s">
        <v>80</v>
      </c>
      <c r="B90" s="3">
        <f>B89+(B87/B88)</f>
        <v>640384.41414409468</v>
      </c>
      <c r="C90" t="s">
        <v>41</v>
      </c>
    </row>
    <row r="91" spans="1:3" x14ac:dyDescent="0.2">
      <c r="A91" s="31" t="s">
        <v>81</v>
      </c>
      <c r="B91" s="17">
        <v>1.69</v>
      </c>
      <c r="C91" t="s">
        <v>82</v>
      </c>
    </row>
    <row r="92" spans="1:3" x14ac:dyDescent="0.2">
      <c r="A92" s="31" t="s">
        <v>81</v>
      </c>
      <c r="B92" s="22">
        <f>B91/30/B23</f>
        <v>2.3472222222222223E-3</v>
      </c>
      <c r="C92" t="s">
        <v>37</v>
      </c>
    </row>
    <row r="93" spans="1:3" x14ac:dyDescent="0.2">
      <c r="A93" s="31" t="s">
        <v>83</v>
      </c>
      <c r="B93" s="3">
        <f>B91*12*(B69/1000)</f>
        <v>649346.75394211209</v>
      </c>
      <c r="C93" t="s">
        <v>41</v>
      </c>
    </row>
    <row r="94" spans="1:3" x14ac:dyDescent="0.2">
      <c r="A94" s="31" t="s">
        <v>84</v>
      </c>
      <c r="B94" s="7">
        <v>2400</v>
      </c>
      <c r="C94" t="s">
        <v>69</v>
      </c>
    </row>
    <row r="95" spans="1:3" x14ac:dyDescent="0.2">
      <c r="A95" s="31" t="s">
        <v>85</v>
      </c>
      <c r="B95" s="3">
        <f>B94*(B47)/1000</f>
        <v>71337824.743442774</v>
      </c>
      <c r="C95" t="s">
        <v>71</v>
      </c>
    </row>
    <row r="96" spans="1:3" x14ac:dyDescent="0.2">
      <c r="A96" s="31" t="s">
        <v>86</v>
      </c>
      <c r="B96" s="21">
        <v>25</v>
      </c>
      <c r="C96" t="s">
        <v>73</v>
      </c>
    </row>
    <row r="97" spans="1:3" x14ac:dyDescent="0.2">
      <c r="A97" s="31" t="s">
        <v>87</v>
      </c>
      <c r="B97" s="17">
        <v>100</v>
      </c>
      <c r="C97" t="s">
        <v>69</v>
      </c>
    </row>
    <row r="98" spans="1:3" x14ac:dyDescent="0.2">
      <c r="A98" s="31" t="s">
        <v>88</v>
      </c>
      <c r="B98" s="3">
        <f>B97+(B95/B96)</f>
        <v>2853612.9897377109</v>
      </c>
      <c r="C98" t="s">
        <v>41</v>
      </c>
    </row>
    <row r="99" spans="1:3" x14ac:dyDescent="0.2">
      <c r="A99" s="31" t="s">
        <v>89</v>
      </c>
      <c r="B99" s="7">
        <v>1000</v>
      </c>
      <c r="C99" t="s">
        <v>90</v>
      </c>
    </row>
    <row r="100" spans="1:3" x14ac:dyDescent="0.2">
      <c r="A100" s="31" t="s">
        <v>91</v>
      </c>
      <c r="B100" s="3">
        <f>B99*B58/1000</f>
        <v>613841.97755033185</v>
      </c>
      <c r="C100" t="s">
        <v>71</v>
      </c>
    </row>
    <row r="101" spans="1:3" x14ac:dyDescent="0.2">
      <c r="A101" s="31" t="s">
        <v>92</v>
      </c>
      <c r="B101" s="21">
        <v>15</v>
      </c>
      <c r="C101" t="s">
        <v>73</v>
      </c>
    </row>
    <row r="102" spans="1:3" x14ac:dyDescent="0.2">
      <c r="A102" s="31" t="s">
        <v>93</v>
      </c>
      <c r="B102" s="17">
        <v>100</v>
      </c>
      <c r="C102" t="s">
        <v>90</v>
      </c>
    </row>
    <row r="103" spans="1:3" x14ac:dyDescent="0.2">
      <c r="A103" s="31" t="s">
        <v>94</v>
      </c>
      <c r="B103" s="3">
        <f>B102+(B100/B101)</f>
        <v>41022.798503355458</v>
      </c>
      <c r="C103" t="s">
        <v>41</v>
      </c>
    </row>
    <row r="104" spans="1:3" x14ac:dyDescent="0.2">
      <c r="A104" s="31" t="s">
        <v>95</v>
      </c>
      <c r="B104" s="4">
        <f>SUM(B85,B90,B93,B98,B103)</f>
        <v>7258297.7442189269</v>
      </c>
      <c r="C104" t="s">
        <v>41</v>
      </c>
    </row>
    <row r="105" spans="1:3" x14ac:dyDescent="0.2">
      <c r="A105" s="31"/>
    </row>
    <row r="106" spans="1:3" x14ac:dyDescent="0.2">
      <c r="A106" s="31" t="s">
        <v>96</v>
      </c>
      <c r="B106" s="32">
        <f>B28+B77-B51-B104</f>
        <v>-11144716.357937634</v>
      </c>
      <c r="C106" t="s">
        <v>41</v>
      </c>
    </row>
    <row r="108" spans="1:3" x14ac:dyDescent="0.2">
      <c r="A108" t="s">
        <v>97</v>
      </c>
      <c r="B108" s="32">
        <f>SUM(B82,B87,B95,B100)</f>
        <v>180816507.12548918</v>
      </c>
    </row>
  </sheetData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 r:id="rId1"/>
  <headerFooter alignWithMargins="0">
    <oddHeader>&amp;LDust Elimination Hydro Power Ponds&amp;RNew River Total Flow to Ponds then to Salton Sea</oddHeader>
    <oddFooter>&amp;LSea to Sea Team&amp;CCopyright 2011 Sephton Water Technology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western Yuha Route</vt:lpstr>
      <vt:lpstr>WI eastern New River Route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TomSephton</cp:lastModifiedBy>
  <dcterms:created xsi:type="dcterms:W3CDTF">2015-08-19T16:36:33Z</dcterms:created>
  <dcterms:modified xsi:type="dcterms:W3CDTF">2018-03-12T10:16:00Z</dcterms:modified>
</cp:coreProperties>
</file>